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55" windowWidth="12030" windowHeight="3300" firstSheet="1" activeTab="0"/>
  </bookViews>
  <sheets>
    <sheet name="Sheet1" sheetId="1" r:id="rId1"/>
    <sheet name="F131" sheetId="2" r:id="rId2"/>
    <sheet name="F132" sheetId="3" r:id="rId3"/>
    <sheet name="F133" sheetId="4" r:id="rId4"/>
    <sheet name="F134" sheetId="5" r:id="rId5"/>
    <sheet name="F151" sheetId="6" r:id="rId6"/>
    <sheet name="F152" sheetId="7" r:id="rId7"/>
    <sheet name="F153" sheetId="8" r:id="rId8"/>
    <sheet name="F154" sheetId="9" r:id="rId9"/>
  </sheets>
  <externalReferences>
    <externalReference r:id="rId12"/>
    <externalReference r:id="rId13"/>
  </externalReferences>
  <definedNames>
    <definedName name="__EdFJsKAA" localSheetId="7" hidden="1">[1]!azzera</definedName>
    <definedName name="__EdFJsKAA" localSheetId="8" hidden="1">[2]!azzera</definedName>
    <definedName name="Macro1">'Macro1'!$I$1</definedName>
    <definedName name="Macro2">#REF!</definedName>
    <definedName name="Macro3">'Macro1'!$A$1</definedName>
  </definedNames>
  <calcPr fullCalcOnLoad="1"/>
</workbook>
</file>

<file path=xl/sharedStrings.xml><?xml version="1.0" encoding="utf-8"?>
<sst xmlns="http://schemas.openxmlformats.org/spreadsheetml/2006/main" count="217" uniqueCount="104">
  <si>
    <t>TECNOLOGIE CHIMICHE INDUSTRIALI</t>
  </si>
  <si>
    <t>Volume primo</t>
  </si>
  <si>
    <t>S.Natoli,   P.Merendino</t>
  </si>
  <si>
    <t>Capitolo 3, foglio 1</t>
  </si>
  <si>
    <t>Capitolo 3, foglio 2</t>
  </si>
  <si>
    <t>Capitolo 3, foglio 3</t>
  </si>
  <si>
    <t>Capitolo 3, foglio 4</t>
  </si>
  <si>
    <t>Capitolo 5, foglio 1</t>
  </si>
  <si>
    <t>Capitolo 5, foglio 2</t>
  </si>
  <si>
    <t>Capitolo 5, foglio 3</t>
  </si>
  <si>
    <t>Capitolo 5, foglio 4</t>
  </si>
  <si>
    <t>Calcolo delle perdite di carico distribuite</t>
  </si>
  <si>
    <t>Immissione dati</t>
  </si>
  <si>
    <t>Diametro della tubazione (mm)</t>
  </si>
  <si>
    <t>Portata (litri/min)</t>
  </si>
  <si>
    <r>
      <t>Densità del liquido (kg/m</t>
    </r>
    <r>
      <rPr>
        <vertAlign val="superscript"/>
        <sz val="8"/>
        <color indexed="56"/>
        <rFont val="Times New Roman"/>
        <family val="1"/>
      </rPr>
      <t>3</t>
    </r>
    <r>
      <rPr>
        <sz val="10"/>
        <color indexed="56"/>
        <rFont val="Times New Roman"/>
        <family val="1"/>
      </rPr>
      <t>)</t>
    </r>
  </si>
  <si>
    <t>Viscosità del liquido (cP)</t>
  </si>
  <si>
    <t>Lunghezza della tubazione (m)</t>
  </si>
  <si>
    <t>Dati calcolati</t>
  </si>
  <si>
    <r>
      <t>Sezione della tubazione (m</t>
    </r>
    <r>
      <rPr>
        <vertAlign val="superscript"/>
        <sz val="8"/>
        <color indexed="56"/>
        <rFont val="Times New Roman"/>
        <family val="1"/>
      </rPr>
      <t>2</t>
    </r>
    <r>
      <rPr>
        <sz val="10"/>
        <color indexed="56"/>
        <rFont val="Times New Roman"/>
        <family val="1"/>
      </rPr>
      <t>)</t>
    </r>
  </si>
  <si>
    <t>Velocità del fluido (m/s)</t>
  </si>
  <si>
    <t>Numero di Reynolds</t>
  </si>
  <si>
    <t>Fattore di attrito</t>
  </si>
  <si>
    <t>Perdite di carico (m)</t>
  </si>
  <si>
    <t>D (mm)</t>
  </si>
  <si>
    <r>
      <t>S</t>
    </r>
    <r>
      <rPr>
        <sz val="10"/>
        <color indexed="18"/>
        <rFont val="Times New Roman"/>
        <family val="1"/>
      </rPr>
      <t>y (m.c.l.)</t>
    </r>
  </si>
  <si>
    <t>f</t>
  </si>
  <si>
    <t>Re</t>
  </si>
  <si>
    <t>Velocità</t>
  </si>
  <si>
    <t>Area</t>
  </si>
  <si>
    <r>
      <t>Densità del liquido (kg/m</t>
    </r>
    <r>
      <rPr>
        <vertAlign val="superscript"/>
        <sz val="8"/>
        <color indexed="18"/>
        <rFont val="Times New Roman"/>
        <family val="1"/>
      </rPr>
      <t>3</t>
    </r>
    <r>
      <rPr>
        <sz val="10"/>
        <color indexed="18"/>
        <rFont val="Times New Roman"/>
        <family val="0"/>
      </rPr>
      <t>)</t>
    </r>
  </si>
  <si>
    <t>Densità del liquido (kg/m3)</t>
  </si>
  <si>
    <t>Sezione della tubazione (m2)</t>
  </si>
  <si>
    <t>Perdite localizzate</t>
  </si>
  <si>
    <t>Tipo di perdita</t>
  </si>
  <si>
    <t>Leq (m)</t>
  </si>
  <si>
    <t>Saracinesca chiusa per 3/4</t>
  </si>
  <si>
    <t>Valvola di fondo con filtro</t>
  </si>
  <si>
    <t>Valvola a disco aperta</t>
  </si>
  <si>
    <t>Valvola a disco a squadra aperta</t>
  </si>
  <si>
    <t>Saracinesca chiusa 1/2</t>
  </si>
  <si>
    <t>Valvola di ritegno a sfera</t>
  </si>
  <si>
    <t>Valvola di ritegno completamente aperta</t>
  </si>
  <si>
    <t>Curva doppia a 180°</t>
  </si>
  <si>
    <t>Saracinesca chiusa 1/4</t>
  </si>
  <si>
    <t>Curva a 90° a medio raggio</t>
  </si>
  <si>
    <t>Curva a 90° a largo raggio</t>
  </si>
  <si>
    <t>Valvola a farfalla aperta</t>
  </si>
  <si>
    <t>Raccordo a T a flusso dritto</t>
  </si>
  <si>
    <t>Saracinesa aperta</t>
  </si>
  <si>
    <t>Lunghezza equivalente totale</t>
  </si>
  <si>
    <t>Q (litri/min)</t>
  </si>
  <si>
    <r>
      <t>S</t>
    </r>
    <r>
      <rPr>
        <sz val="12"/>
        <color indexed="18"/>
        <rFont val="Times New Roman"/>
        <family val="1"/>
      </rPr>
      <t>y (m)</t>
    </r>
  </si>
  <si>
    <r>
      <t>D</t>
    </r>
    <r>
      <rPr>
        <sz val="12"/>
        <color indexed="18"/>
        <rFont val="Times New Roman"/>
        <family val="1"/>
      </rPr>
      <t>P (m)</t>
    </r>
  </si>
  <si>
    <t>V (m/s)</t>
  </si>
  <si>
    <r>
      <t>Densità del liquido (kg/m</t>
    </r>
    <r>
      <rPr>
        <vertAlign val="superscript"/>
        <sz val="8"/>
        <color indexed="12"/>
        <rFont val="Times New Roman"/>
        <family val="1"/>
      </rPr>
      <t>3</t>
    </r>
    <r>
      <rPr>
        <sz val="12"/>
        <color indexed="12"/>
        <rFont val="Times New Roman"/>
        <family val="1"/>
      </rPr>
      <t>)</t>
    </r>
  </si>
  <si>
    <r>
      <t>Pressione iniziale (kg/cm</t>
    </r>
    <r>
      <rPr>
        <vertAlign val="superscript"/>
        <sz val="8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)</t>
    </r>
  </si>
  <si>
    <r>
      <t>Pressione finale (kg/cm</t>
    </r>
    <r>
      <rPr>
        <vertAlign val="superscript"/>
        <sz val="8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)</t>
    </r>
  </si>
  <si>
    <t>Saracinesche aperte</t>
  </si>
  <si>
    <t>Valvole a disco aperte</t>
  </si>
  <si>
    <t>Curve a 90°</t>
  </si>
  <si>
    <r>
      <t>Sezione calcolata (m</t>
    </r>
    <r>
      <rPr>
        <vertAlign val="superscript"/>
        <sz val="8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)</t>
    </r>
  </si>
  <si>
    <t>Leq saracinesche</t>
  </si>
  <si>
    <t>Leq valvole a disco</t>
  </si>
  <si>
    <t>Leq curve</t>
  </si>
  <si>
    <t>Lunghezza totale (tubaz. + eq)</t>
  </si>
  <si>
    <t>Sezioni estreme</t>
  </si>
  <si>
    <t>Pressione 1 (kg/cm2)</t>
  </si>
  <si>
    <t>Velocità 1 (m/s)</t>
  </si>
  <si>
    <t>Altezza 1 (m)</t>
  </si>
  <si>
    <t>Pressione 2 (kg/cm2)</t>
  </si>
  <si>
    <t>Velocità 2 (m/s)</t>
  </si>
  <si>
    <t>Altezza 2 (m)</t>
  </si>
  <si>
    <t>Prevalenza (m.c.l.)</t>
  </si>
  <si>
    <t>Potenza utile (CV)</t>
  </si>
  <si>
    <t>H (m.c.l.)</t>
  </si>
  <si>
    <t>Portata</t>
  </si>
  <si>
    <t>H</t>
  </si>
  <si>
    <t>y</t>
  </si>
  <si>
    <t>v</t>
  </si>
  <si>
    <t>Altezza iniziale (m)</t>
  </si>
  <si>
    <t>Pressione iniziale (kg/cm2)</t>
  </si>
  <si>
    <t>Velocità iniziale (m/s)</t>
  </si>
  <si>
    <t>Altezza finale (m)</t>
  </si>
  <si>
    <t>Pressione finale (kg/cm2)</t>
  </si>
  <si>
    <t>Velocità finale (m/s)</t>
  </si>
  <si>
    <t>n°</t>
  </si>
  <si>
    <t>Q (lit/min)</t>
  </si>
  <si>
    <t>Himp (m)</t>
  </si>
  <si>
    <t>Macro131</t>
  </si>
  <si>
    <t>Macro132</t>
  </si>
  <si>
    <t>Macro133</t>
  </si>
  <si>
    <t>Macro134</t>
  </si>
  <si>
    <t>Macro151</t>
  </si>
  <si>
    <t>Macro152</t>
  </si>
  <si>
    <t>Macro153</t>
  </si>
  <si>
    <t>Macro154</t>
  </si>
  <si>
    <t>MACF133</t>
  </si>
  <si>
    <t>MACF151</t>
  </si>
  <si>
    <t>MACF153</t>
  </si>
  <si>
    <t>MACF154</t>
  </si>
  <si>
    <t>Indice</t>
  </si>
  <si>
    <t>azzera (e)</t>
  </si>
  <si>
    <t>azzera (a)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</si>
</sst>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BF&quot;;\-#,##0\ &quot;BF&quot;"/>
    <numFmt numFmtId="171" formatCode="#,##0\ &quot;BF&quot;;[Red]\-#,##0\ &quot;BF&quot;"/>
    <numFmt numFmtId="172" formatCode="#,##0.00\ &quot;BF&quot;;\-#,##0.00\ &quot;BF&quot;"/>
    <numFmt numFmtId="173" formatCode="#,##0.00\ &quot;BF&quot;;[Red]\-#,##0.00\ &quot;BF&quot;"/>
    <numFmt numFmtId="174" formatCode="_-* #,##0\ &quot;BF&quot;_-;\-* #,##0\ &quot;BF&quot;_-;_-* &quot;-&quot;\ &quot;BF&quot;_-;_-@_-"/>
    <numFmt numFmtId="175" formatCode="_-* #,##0\ _B_F_-;\-* #,##0\ _B_F_-;_-* &quot;-&quot;\ _B_F_-;_-@_-"/>
    <numFmt numFmtId="176" formatCode="_-* #,##0.00\ &quot;BF&quot;_-;\-* #,##0.00\ &quot;BF&quot;_-;_-* &quot;-&quot;??\ &quot;BF&quot;_-;_-@_-"/>
    <numFmt numFmtId="177" formatCode="_-* #,##0.00\ _B_F_-;\-* #,##0.00\ _B_F_-;_-* &quot;-&quot;??\ _B_F_-;_-@_-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d/mmm/yy"/>
    <numFmt numFmtId="183" formatCode="d/mmm"/>
    <numFmt numFmtId="184" formatCode="mmm/yy"/>
    <numFmt numFmtId="185" formatCode="d/mm/yy"/>
    <numFmt numFmtId="186" formatCode="d/mm/yy\ h:mm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Times New Roman"/>
      <family val="1"/>
    </font>
    <font>
      <b/>
      <sz val="8.5"/>
      <color indexed="8"/>
      <name val="MS Sans Serif"/>
      <family val="2"/>
    </font>
    <font>
      <sz val="14"/>
      <color indexed="56"/>
      <name val="Bodoni Bk BT"/>
      <family val="1"/>
    </font>
    <font>
      <sz val="12"/>
      <color indexed="12"/>
      <name val="Arial"/>
      <family val="2"/>
    </font>
    <font>
      <sz val="10"/>
      <name val="Geneva"/>
      <family val="0"/>
    </font>
    <font>
      <sz val="12"/>
      <name val="Times New Roman"/>
      <family val="1"/>
    </font>
    <font>
      <b/>
      <sz val="12"/>
      <color indexed="56"/>
      <name val="Geneva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vertAlign val="superscript"/>
      <sz val="8"/>
      <color indexed="56"/>
      <name val="Times New Roman"/>
      <family val="1"/>
    </font>
    <font>
      <sz val="10"/>
      <name val="Times New Roman"/>
      <family val="0"/>
    </font>
    <font>
      <sz val="10"/>
      <color indexed="18"/>
      <name val="Times New Roman"/>
      <family val="0"/>
    </font>
    <font>
      <b/>
      <sz val="12"/>
      <color indexed="18"/>
      <name val="Times New Roman"/>
      <family val="1"/>
    </font>
    <font>
      <sz val="10"/>
      <color indexed="18"/>
      <name val="Symbol"/>
      <family val="0"/>
    </font>
    <font>
      <vertAlign val="superscript"/>
      <sz val="8"/>
      <color indexed="18"/>
      <name val="Times New Roman"/>
      <family val="1"/>
    </font>
    <font>
      <b/>
      <sz val="10"/>
      <name val="Geneva"/>
      <family val="0"/>
    </font>
    <font>
      <sz val="12"/>
      <color indexed="12"/>
      <name val="Times New Roman"/>
      <family val="1"/>
    </font>
    <font>
      <vertAlign val="superscript"/>
      <sz val="8"/>
      <color indexed="12"/>
      <name val="Times New Roman"/>
      <family val="1"/>
    </font>
    <font>
      <b/>
      <sz val="10"/>
      <name val="Times New Roman"/>
      <family val="1"/>
    </font>
    <font>
      <sz val="12"/>
      <name val="Tms Rmn"/>
      <family val="0"/>
    </font>
    <font>
      <sz val="12"/>
      <color indexed="8"/>
      <name val="System"/>
      <family val="0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39"/>
      <name val="Times New Roman"/>
      <family val="1"/>
    </font>
    <font>
      <sz val="10"/>
      <color indexed="39"/>
      <name val="Geneva"/>
      <family val="0"/>
    </font>
    <font>
      <sz val="12"/>
      <color indexed="39"/>
      <name val="Tms Rmn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4" borderId="0" xfId="20" applyFont="1" applyFill="1">
      <alignment/>
      <protection/>
    </xf>
    <xf numFmtId="0" fontId="11" fillId="4" borderId="0" xfId="20" applyFont="1" applyFill="1" applyAlignment="1">
      <alignment horizontal="center"/>
      <protection/>
    </xf>
    <xf numFmtId="0" fontId="12" fillId="4" borderId="0" xfId="20" applyFont="1" applyFill="1" applyAlignment="1">
      <alignment horizontal="center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11" fillId="5" borderId="1" xfId="20" applyFont="1" applyFill="1" applyBorder="1" applyAlignment="1">
      <alignment horizontal="centerContinuous"/>
      <protection/>
    </xf>
    <xf numFmtId="0" fontId="13" fillId="5" borderId="2" xfId="20" applyFont="1" applyFill="1" applyBorder="1" applyAlignment="1">
      <alignment horizontal="centerContinuous"/>
      <protection/>
    </xf>
    <xf numFmtId="0" fontId="14" fillId="4" borderId="3" xfId="20" applyFont="1" applyFill="1" applyBorder="1" applyAlignment="1" applyProtection="1">
      <alignment horizontal="center"/>
      <protection/>
    </xf>
    <xf numFmtId="0" fontId="14" fillId="4" borderId="4" xfId="20" applyFont="1" applyFill="1" applyBorder="1" applyAlignment="1">
      <alignment horizontal="center"/>
      <protection/>
    </xf>
    <xf numFmtId="0" fontId="14" fillId="4" borderId="5" xfId="20" applyFont="1" applyFill="1" applyBorder="1" applyAlignment="1" applyProtection="1">
      <alignment horizontal="center"/>
      <protection/>
    </xf>
    <xf numFmtId="0" fontId="14" fillId="4" borderId="6" xfId="20" applyFont="1" applyFill="1" applyBorder="1" applyAlignment="1">
      <alignment horizontal="center"/>
      <protection/>
    </xf>
    <xf numFmtId="0" fontId="14" fillId="4" borderId="7" xfId="20" applyFont="1" applyFill="1" applyBorder="1" applyAlignment="1" applyProtection="1">
      <alignment horizontal="center"/>
      <protection/>
    </xf>
    <xf numFmtId="0" fontId="14" fillId="4" borderId="8" xfId="20" applyFont="1" applyFill="1" applyBorder="1" applyAlignment="1">
      <alignment horizontal="center"/>
      <protection/>
    </xf>
    <xf numFmtId="0" fontId="9" fillId="0" borderId="0" xfId="20" applyFont="1" applyFill="1" applyAlignment="1">
      <alignment horizontal="center"/>
      <protection/>
    </xf>
    <xf numFmtId="0" fontId="9" fillId="5" borderId="9" xfId="20" applyFont="1" applyFill="1" applyBorder="1" applyAlignment="1">
      <alignment horizontal="centerContinuous"/>
      <protection/>
    </xf>
    <xf numFmtId="0" fontId="14" fillId="4" borderId="5" xfId="20" applyFont="1" applyFill="1" applyBorder="1" applyAlignment="1">
      <alignment horizontal="center"/>
      <protection/>
    </xf>
    <xf numFmtId="0" fontId="14" fillId="4" borderId="10" xfId="20" applyFont="1" applyFill="1" applyBorder="1" applyAlignment="1">
      <alignment horizontal="center"/>
      <protection/>
    </xf>
    <xf numFmtId="2" fontId="14" fillId="4" borderId="10" xfId="20" applyNumberFormat="1" applyFont="1" applyFill="1" applyBorder="1" applyAlignment="1">
      <alignment horizontal="center"/>
      <protection/>
    </xf>
    <xf numFmtId="1" fontId="14" fillId="4" borderId="10" xfId="20" applyNumberFormat="1" applyFont="1" applyFill="1" applyBorder="1" applyAlignment="1">
      <alignment horizontal="center"/>
      <protection/>
    </xf>
    <xf numFmtId="0" fontId="9" fillId="0" borderId="0" xfId="20" applyFont="1" applyBorder="1">
      <alignment/>
      <protection/>
    </xf>
    <xf numFmtId="0" fontId="14" fillId="4" borderId="7" xfId="20" applyFont="1" applyFill="1" applyBorder="1" applyAlignment="1">
      <alignment horizontal="center"/>
      <protection/>
    </xf>
    <xf numFmtId="2" fontId="14" fillId="4" borderId="11" xfId="20" applyNumberFormat="1" applyFont="1" applyFill="1" applyBorder="1" applyAlignment="1">
      <alignment horizontal="center"/>
      <protection/>
    </xf>
    <xf numFmtId="0" fontId="16" fillId="0" borderId="0" xfId="21" applyFont="1" applyAlignment="1">
      <alignment horizontal="center"/>
      <protection/>
    </xf>
    <xf numFmtId="0" fontId="16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1" fontId="17" fillId="0" borderId="0" xfId="21" applyNumberFormat="1" applyFont="1" applyAlignment="1">
      <alignment horizontal="center"/>
      <protection/>
    </xf>
    <xf numFmtId="2" fontId="17" fillId="0" borderId="0" xfId="21" applyNumberFormat="1" applyFont="1" applyAlignment="1">
      <alignment horizontal="center"/>
      <protection/>
    </xf>
    <xf numFmtId="0" fontId="18" fillId="5" borderId="1" xfId="21" applyFont="1" applyFill="1" applyBorder="1" applyAlignment="1">
      <alignment horizontal="centerContinuous"/>
      <protection/>
    </xf>
    <xf numFmtId="0" fontId="17" fillId="5" borderId="2" xfId="21" applyFont="1" applyFill="1" applyBorder="1" applyAlignment="1">
      <alignment horizontal="centerContinuous"/>
      <protection/>
    </xf>
    <xf numFmtId="0" fontId="17" fillId="4" borderId="5" xfId="21" applyFont="1" applyFill="1" applyBorder="1" applyAlignment="1" applyProtection="1">
      <alignment horizontal="center"/>
      <protection/>
    </xf>
    <xf numFmtId="0" fontId="17" fillId="4" borderId="6" xfId="21" applyFont="1" applyFill="1" applyBorder="1" applyAlignment="1">
      <alignment horizontal="center"/>
      <protection/>
    </xf>
    <xf numFmtId="0" fontId="17" fillId="4" borderId="7" xfId="21" applyFont="1" applyFill="1" applyBorder="1" applyAlignment="1" applyProtection="1">
      <alignment horizontal="center"/>
      <protection/>
    </xf>
    <xf numFmtId="0" fontId="17" fillId="4" borderId="8" xfId="21" applyFont="1" applyFill="1" applyBorder="1" applyAlignment="1">
      <alignment horizontal="center"/>
      <protection/>
    </xf>
    <xf numFmtId="0" fontId="16" fillId="0" borderId="0" xfId="21" applyFont="1" applyFill="1" applyAlignment="1">
      <alignment horizontal="center"/>
      <protection/>
    </xf>
    <xf numFmtId="0" fontId="16" fillId="0" borderId="0" xfId="21" applyFont="1" applyFill="1">
      <alignment/>
      <protection/>
    </xf>
    <xf numFmtId="0" fontId="22" fillId="0" borderId="0" xfId="23" applyFont="1">
      <alignment/>
      <protection/>
    </xf>
    <xf numFmtId="0" fontId="22" fillId="0" borderId="0" xfId="23" applyFont="1" applyAlignment="1">
      <alignment horizontal="center"/>
      <protection/>
    </xf>
    <xf numFmtId="0" fontId="22" fillId="5" borderId="2" xfId="23" applyFont="1" applyFill="1" applyBorder="1" applyAlignment="1">
      <alignment horizontal="centerContinuous"/>
      <protection/>
    </xf>
    <xf numFmtId="0" fontId="22" fillId="4" borderId="3" xfId="23" applyFont="1" applyFill="1" applyBorder="1" applyAlignment="1">
      <alignment horizontal="center"/>
      <protection/>
    </xf>
    <xf numFmtId="0" fontId="22" fillId="4" borderId="12" xfId="23" applyFont="1" applyFill="1" applyBorder="1" applyAlignment="1">
      <alignment horizontal="center"/>
      <protection/>
    </xf>
    <xf numFmtId="0" fontId="22" fillId="4" borderId="5" xfId="23" applyFont="1" applyFill="1" applyBorder="1" applyAlignment="1">
      <alignment horizontal="center"/>
      <protection/>
    </xf>
    <xf numFmtId="0" fontId="22" fillId="4" borderId="10" xfId="23" applyFont="1" applyFill="1" applyBorder="1" applyAlignment="1">
      <alignment horizontal="center"/>
      <protection/>
    </xf>
    <xf numFmtId="0" fontId="22" fillId="4" borderId="7" xfId="23" applyFont="1" applyFill="1" applyBorder="1" applyAlignment="1">
      <alignment horizontal="center"/>
      <protection/>
    </xf>
    <xf numFmtId="0" fontId="22" fillId="4" borderId="11" xfId="23" applyFont="1" applyFill="1" applyBorder="1" applyAlignment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0" borderId="0" xfId="25" applyFont="1">
      <alignment/>
      <protection/>
    </xf>
    <xf numFmtId="0" fontId="25" fillId="0" borderId="0" xfId="22" applyFont="1" applyAlignment="1">
      <alignment horizontal="center"/>
      <protection/>
    </xf>
    <xf numFmtId="0" fontId="25" fillId="0" borderId="0" xfId="22" applyFont="1">
      <alignment/>
      <protection/>
    </xf>
    <xf numFmtId="0" fontId="8" fillId="0" borderId="0" xfId="22">
      <alignment/>
      <protection/>
    </xf>
    <xf numFmtId="0" fontId="25" fillId="0" borderId="0" xfId="22" applyFont="1" applyFill="1" applyAlignment="1">
      <alignment horizontal="center"/>
      <protection/>
    </xf>
    <xf numFmtId="0" fontId="8" fillId="0" borderId="0" xfId="22" applyProtection="1">
      <alignment/>
      <protection locked="0"/>
    </xf>
    <xf numFmtId="0" fontId="25" fillId="0" borderId="0" xfId="24" applyFont="1" applyAlignment="1">
      <alignment horizontal="center"/>
      <protection/>
    </xf>
    <xf numFmtId="0" fontId="25" fillId="0" borderId="0" xfId="24" applyFont="1">
      <alignment/>
      <protection/>
    </xf>
    <xf numFmtId="0" fontId="25" fillId="0" borderId="0" xfId="24" applyFont="1" applyFill="1" applyAlignment="1">
      <alignment horizontal="center"/>
      <protection/>
    </xf>
    <xf numFmtId="0" fontId="8" fillId="0" borderId="0" xfId="24">
      <alignment/>
      <protection/>
    </xf>
    <xf numFmtId="0" fontId="8" fillId="0" borderId="0" xfId="24" applyProtection="1">
      <alignment/>
      <protection locked="0"/>
    </xf>
    <xf numFmtId="0" fontId="25" fillId="0" borderId="0" xfId="26" applyFont="1" applyAlignment="1">
      <alignment horizontal="center"/>
      <protection/>
    </xf>
    <xf numFmtId="0" fontId="25" fillId="0" borderId="0" xfId="26" applyFont="1">
      <alignment/>
      <protection/>
    </xf>
    <xf numFmtId="2" fontId="25" fillId="0" borderId="0" xfId="26" applyNumberFormat="1" applyFont="1" applyAlignment="1">
      <alignment horizontal="center"/>
      <protection/>
    </xf>
    <xf numFmtId="0" fontId="8" fillId="0" borderId="0" xfId="26">
      <alignment/>
      <protection/>
    </xf>
    <xf numFmtId="0" fontId="8" fillId="0" borderId="0" xfId="26" applyProtection="1">
      <alignment/>
      <protection locked="0"/>
    </xf>
    <xf numFmtId="0" fontId="25" fillId="0" borderId="0" xfId="27" applyFont="1" applyAlignment="1">
      <alignment horizontal="center"/>
      <protection/>
    </xf>
    <xf numFmtId="0" fontId="25" fillId="0" borderId="0" xfId="27" applyFont="1">
      <alignment/>
      <protection/>
    </xf>
    <xf numFmtId="0" fontId="8" fillId="0" borderId="0" xfId="27">
      <alignment/>
      <protection/>
    </xf>
    <xf numFmtId="2" fontId="25" fillId="0" borderId="0" xfId="27" applyNumberFormat="1" applyFont="1" applyAlignment="1">
      <alignment horizontal="center"/>
      <protection/>
    </xf>
    <xf numFmtId="0" fontId="8" fillId="0" borderId="0" xfId="27" applyAlignment="1">
      <alignment horizontal="center"/>
      <protection/>
    </xf>
    <xf numFmtId="0" fontId="8" fillId="0" borderId="0" xfId="27" applyProtection="1">
      <alignment/>
      <protection locked="0"/>
    </xf>
    <xf numFmtId="0" fontId="9" fillId="6" borderId="0" xfId="28" applyFont="1" applyFill="1">
      <alignment/>
      <protection/>
    </xf>
    <xf numFmtId="0" fontId="17" fillId="4" borderId="5" xfId="21" applyFont="1" applyFill="1" applyBorder="1" applyAlignment="1" applyProtection="1" quotePrefix="1">
      <alignment horizontal="center"/>
      <protection/>
    </xf>
    <xf numFmtId="0" fontId="31" fillId="0" borderId="0" xfId="27" applyFont="1" applyAlignment="1">
      <alignment horizontal="center"/>
      <protection/>
    </xf>
    <xf numFmtId="0" fontId="32" fillId="0" borderId="0" xfId="27" applyFont="1" applyAlignment="1">
      <alignment horizontal="center"/>
      <protection/>
    </xf>
    <xf numFmtId="2" fontId="32" fillId="0" borderId="0" xfId="27" applyNumberFormat="1" applyFont="1" applyAlignment="1">
      <alignment horizontal="center"/>
      <protection/>
    </xf>
    <xf numFmtId="0" fontId="31" fillId="5" borderId="13" xfId="27" applyFont="1" applyFill="1" applyBorder="1" applyAlignment="1">
      <alignment horizontal="center"/>
      <protection/>
    </xf>
    <xf numFmtId="0" fontId="31" fillId="5" borderId="14" xfId="27" applyFont="1" applyFill="1" applyBorder="1" applyAlignment="1">
      <alignment horizontal="center"/>
      <protection/>
    </xf>
    <xf numFmtId="0" fontId="32" fillId="5" borderId="14" xfId="27" applyFont="1" applyFill="1" applyBorder="1" applyAlignment="1">
      <alignment horizontal="center"/>
      <protection/>
    </xf>
    <xf numFmtId="0" fontId="31" fillId="5" borderId="14" xfId="27" applyFont="1" applyFill="1" applyBorder="1">
      <alignment/>
      <protection/>
    </xf>
    <xf numFmtId="2" fontId="32" fillId="5" borderId="15" xfId="27" applyNumberFormat="1" applyFont="1" applyFill="1" applyBorder="1" applyAlignment="1">
      <alignment horizontal="center"/>
      <protection/>
    </xf>
    <xf numFmtId="0" fontId="32" fillId="5" borderId="13" xfId="26" applyFont="1" applyFill="1" applyBorder="1" applyAlignment="1">
      <alignment horizontal="center"/>
      <protection/>
    </xf>
    <xf numFmtId="0" fontId="32" fillId="5" borderId="14" xfId="26" applyFont="1" applyFill="1" applyBorder="1" applyAlignment="1">
      <alignment horizontal="center"/>
      <protection/>
    </xf>
    <xf numFmtId="0" fontId="31" fillId="5" borderId="14" xfId="26" applyFont="1" applyFill="1" applyBorder="1">
      <alignment/>
      <protection/>
    </xf>
    <xf numFmtId="2" fontId="32" fillId="5" borderId="15" xfId="26" applyNumberFormat="1" applyFont="1" applyFill="1" applyBorder="1" applyAlignment="1">
      <alignment horizontal="center"/>
      <protection/>
    </xf>
    <xf numFmtId="0" fontId="32" fillId="6" borderId="0" xfId="26" applyFont="1" applyFill="1" applyAlignment="1">
      <alignment horizontal="center"/>
      <protection/>
    </xf>
    <xf numFmtId="2" fontId="32" fillId="6" borderId="0" xfId="26" applyNumberFormat="1" applyFont="1" applyFill="1" applyAlignment="1">
      <alignment horizontal="center"/>
      <protection/>
    </xf>
    <xf numFmtId="0" fontId="33" fillId="6" borderId="0" xfId="27" applyFont="1" applyFill="1" applyAlignment="1">
      <alignment horizontal="center"/>
      <protection/>
    </xf>
    <xf numFmtId="0" fontId="34" fillId="6" borderId="0" xfId="27" applyFont="1" applyFill="1" applyAlignment="1">
      <alignment horizontal="center"/>
      <protection/>
    </xf>
    <xf numFmtId="2" fontId="34" fillId="6" borderId="0" xfId="27" applyNumberFormat="1" applyFont="1" applyFill="1" applyAlignment="1">
      <alignment horizontal="center"/>
      <protection/>
    </xf>
    <xf numFmtId="0" fontId="17" fillId="5" borderId="13" xfId="21" applyFont="1" applyFill="1" applyBorder="1" applyAlignment="1">
      <alignment horizontal="center"/>
      <protection/>
    </xf>
    <xf numFmtId="0" fontId="19" fillId="5" borderId="14" xfId="21" applyFont="1" applyFill="1" applyBorder="1" applyAlignment="1">
      <alignment horizontal="center"/>
      <protection/>
    </xf>
    <xf numFmtId="0" fontId="17" fillId="5" borderId="14" xfId="21" applyFont="1" applyFill="1" applyBorder="1" applyAlignment="1">
      <alignment horizontal="center"/>
      <protection/>
    </xf>
    <xf numFmtId="1" fontId="17" fillId="5" borderId="14" xfId="21" applyNumberFormat="1" applyFont="1" applyFill="1" applyBorder="1" applyAlignment="1">
      <alignment horizontal="center"/>
      <protection/>
    </xf>
    <xf numFmtId="2" fontId="17" fillId="5" borderId="14" xfId="21" applyNumberFormat="1" applyFont="1" applyFill="1" applyBorder="1" applyAlignment="1">
      <alignment horizontal="center"/>
      <protection/>
    </xf>
    <xf numFmtId="0" fontId="17" fillId="5" borderId="15" xfId="21" applyFont="1" applyFill="1" applyBorder="1" applyAlignment="1">
      <alignment horizontal="center"/>
      <protection/>
    </xf>
    <xf numFmtId="0" fontId="33" fillId="6" borderId="0" xfId="21" applyFont="1" applyFill="1" applyAlignment="1">
      <alignment horizontal="center"/>
      <protection/>
    </xf>
    <xf numFmtId="1" fontId="33" fillId="6" borderId="0" xfId="21" applyNumberFormat="1" applyFont="1" applyFill="1" applyAlignment="1">
      <alignment horizontal="center"/>
      <protection/>
    </xf>
    <xf numFmtId="2" fontId="33" fillId="6" borderId="0" xfId="21" applyNumberFormat="1" applyFont="1" applyFill="1" applyAlignment="1">
      <alignment horizontal="center"/>
      <protection/>
    </xf>
    <xf numFmtId="0" fontId="34" fillId="6" borderId="0" xfId="23" applyFont="1" applyFill="1" applyAlignment="1">
      <alignment horizontal="center"/>
      <protection/>
    </xf>
    <xf numFmtId="0" fontId="30" fillId="5" borderId="13" xfId="25" applyFont="1" applyFill="1" applyBorder="1" applyAlignment="1">
      <alignment horizontal="center"/>
      <protection/>
    </xf>
    <xf numFmtId="0" fontId="30" fillId="5" borderId="15" xfId="25" applyFont="1" applyFill="1" applyBorder="1" applyAlignment="1">
      <alignment horizontal="center"/>
      <protection/>
    </xf>
    <xf numFmtId="0" fontId="33" fillId="6" borderId="0" xfId="25" applyFont="1" applyFill="1" applyAlignment="1">
      <alignment horizontal="center"/>
      <protection/>
    </xf>
    <xf numFmtId="0" fontId="35" fillId="5" borderId="13" xfId="23" applyFont="1" applyFill="1" applyBorder="1" applyAlignment="1">
      <alignment horizontal="center"/>
      <protection/>
    </xf>
    <xf numFmtId="0" fontId="36" fillId="5" borderId="14" xfId="23" applyFont="1" applyFill="1" applyBorder="1" applyAlignment="1">
      <alignment horizontal="center"/>
      <protection/>
    </xf>
    <xf numFmtId="0" fontId="35" fillId="5" borderId="14" xfId="23" applyFont="1" applyFill="1" applyBorder="1" applyAlignment="1">
      <alignment horizontal="center"/>
      <protection/>
    </xf>
    <xf numFmtId="0" fontId="35" fillId="5" borderId="15" xfId="23" applyFont="1" applyFill="1" applyBorder="1" applyAlignment="1">
      <alignment horizontal="center"/>
      <protection/>
    </xf>
  </cellXfs>
  <cellStyles count="18">
    <cellStyle name="Normal" xfId="0"/>
    <cellStyle name="Comma_F131" xfId="15"/>
    <cellStyle name="Currency [0]_F131" xfId="16"/>
    <cellStyle name="Currency_F131" xfId="17"/>
    <cellStyle name="Comma" xfId="18"/>
    <cellStyle name="Comma [0]" xfId="19"/>
    <cellStyle name="Normal_F131" xfId="20"/>
    <cellStyle name="Normal_F132" xfId="21"/>
    <cellStyle name="Normal_F133" xfId="22"/>
    <cellStyle name="Normal_F134" xfId="23"/>
    <cellStyle name="Normal_F151" xfId="24"/>
    <cellStyle name="Normal_F152" xfId="25"/>
    <cellStyle name="Normal_F153" xfId="26"/>
    <cellStyle name="Normal_F154" xfId="27"/>
    <cellStyle name="Normal_F211" xfId="28"/>
    <cellStyle name="Percent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Perdite di carico in funzione del diametro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9075"/>
          <c:w val="0.860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'F132'!$F$4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'F132'!$E$5:$E$45</c:f>
              <c:numCach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cat>
          <c:val>
            <c:numRef>
              <c:f>'F132'!$F$5:$F$45</c:f>
              <c:numCache>
                <c:ptCount val="41"/>
                <c:pt idx="0">
                  <c:v>56.80397518771942</c:v>
                </c:pt>
                <c:pt idx="1">
                  <c:v>45.053606176908524</c:v>
                </c:pt>
                <c:pt idx="2">
                  <c:v>36.12130851975874</c:v>
                </c:pt>
                <c:pt idx="3">
                  <c:v>29.245832435693103</c:v>
                </c:pt>
                <c:pt idx="4">
                  <c:v>23.89284195305445</c:v>
                </c:pt>
                <c:pt idx="5">
                  <c:v>19.681408127036732</c:v>
                </c:pt>
                <c:pt idx="6">
                  <c:v>16.33607827142978</c:v>
                </c:pt>
                <c:pt idx="7">
                  <c:v>13.655051068603855</c:v>
                </c:pt>
                <c:pt idx="8">
                  <c:v>11.488691285015474</c:v>
                </c:pt>
                <c:pt idx="9">
                  <c:v>9.724800896460064</c:v>
                </c:pt>
                <c:pt idx="10">
                  <c:v>8.278377917017915</c:v>
                </c:pt>
                <c:pt idx="11">
                  <c:v>7.084401441350933</c:v>
                </c:pt>
                <c:pt idx="12">
                  <c:v>6.092686211231585</c:v>
                </c:pt>
                <c:pt idx="13">
                  <c:v>5.264171068936188</c:v>
                </c:pt>
                <c:pt idx="14">
                  <c:v>4.568213075119842</c:v>
                </c:pt>
                <c:pt idx="15">
                  <c:v>3.980595042489274</c:v>
                </c:pt>
                <c:pt idx="16">
                  <c:v>3.4820446024299834</c:v>
                </c:pt>
                <c:pt idx="17">
                  <c:v>3.0571237510575737</c:v>
                </c:pt>
                <c:pt idx="18">
                  <c:v>2.6933892631185095</c:v>
                </c:pt>
                <c:pt idx="19">
                  <c:v>2.380752916780328</c:v>
                </c:pt>
                <c:pt idx="20">
                  <c:v>2.1109903579273106</c:v>
                </c:pt>
                <c:pt idx="21">
                  <c:v>1.8773614209392129</c:v>
                </c:pt>
                <c:pt idx="22">
                  <c:v>1.674314656940942</c:v>
                </c:pt>
                <c:pt idx="23">
                  <c:v>1.497255939081648</c:v>
                </c:pt>
                <c:pt idx="24">
                  <c:v>1.3423661592157965</c:v>
                </c:pt>
                <c:pt idx="25">
                  <c:v>1.2064567789577127</c:v>
                </c:pt>
                <c:pt idx="26">
                  <c:v>1.0868547505219877</c:v>
                </c:pt>
                <c:pt idx="27">
                  <c:v>0.9813103586632378</c:v>
                </c:pt>
                <c:pt idx="28">
                  <c:v>0.8879230515064954</c:v>
                </c:pt>
                <c:pt idx="29">
                  <c:v>0.8050814652089554</c:v>
                </c:pt>
                <c:pt idx="30">
                  <c:v>0.7314147055607645</c:v>
                </c:pt>
                <c:pt idx="31">
                  <c:v>0.665752601227817</c:v>
                </c:pt>
                <c:pt idx="32">
                  <c:v>0.6070931409883012</c:v>
                </c:pt>
                <c:pt idx="33">
                  <c:v>0.5545756895236156</c:v>
                </c:pt>
                <c:pt idx="34">
                  <c:v>0.5074588714534131</c:v>
                </c:pt>
                <c:pt idx="35">
                  <c:v>0.46510224237194925</c:v>
                </c:pt>
                <c:pt idx="36">
                  <c:v>0.42695104431906733</c:v>
                </c:pt>
                <c:pt idx="37">
                  <c:v>0.39252348315499297</c:v>
                </c:pt>
                <c:pt idx="38">
                  <c:v>0.36140007556422343</c:v>
                </c:pt>
                <c:pt idx="39">
                  <c:v>0.3332147006072312</c:v>
                </c:pt>
                <c:pt idx="40">
                  <c:v>0.30764705998747227</c:v>
                </c:pt>
              </c:numCache>
            </c:numRef>
          </c:val>
          <c:smooth val="0"/>
        </c:ser>
        <c:axId val="36136735"/>
        <c:axId val="77536"/>
      </c:lineChart>
      <c:catAx>
        <c:axId val="3613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Diametro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36"/>
        <c:crosses val="autoZero"/>
        <c:auto val="0"/>
        <c:lblOffset val="100"/>
        <c:tickLblSkip val="5"/>
        <c:noMultiLvlLbl val="0"/>
      </c:catAx>
      <c:valAx>
        <c:axId val="77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Perdite in m.c.l.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36735"/>
        <c:crossesAt val="1"/>
        <c:crossBetween val="midCat"/>
        <c:dispUnits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Portata erogata in funzione della differenza di pressione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6175"/>
          <c:w val="0.8552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'F134'!$F$5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'F134'!$E$6:$E$56</c:f>
              <c:numCache>
                <c:ptCount val="5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</c:numCache>
            </c:numRef>
          </c:cat>
          <c:val>
            <c:numRef>
              <c:f>'F134'!$F$6:$F$56</c:f>
              <c:numCache>
                <c:ptCount val="51"/>
                <c:pt idx="0">
                  <c:v>0.2039746685330363</c:v>
                </c:pt>
                <c:pt idx="1">
                  <c:v>0.2409979981281385</c:v>
                </c:pt>
                <c:pt idx="2">
                  <c:v>0.2806360226527168</c:v>
                </c:pt>
                <c:pt idx="3">
                  <c:v>0.3228323909569319</c:v>
                </c:pt>
                <c:pt idx="4">
                  <c:v>0.3675363503812718</c:v>
                </c:pt>
                <c:pt idx="5">
                  <c:v>0.4147018181372379</c:v>
                </c:pt>
                <c:pt idx="6">
                  <c:v>0.4642866601239204</c:v>
                </c:pt>
                <c:pt idx="7">
                  <c:v>0.5162521204289009</c:v>
                </c:pt>
                <c:pt idx="8">
                  <c:v>0.5705623627967087</c:v>
                </c:pt>
                <c:pt idx="9">
                  <c:v>0.6271840969446566</c:v>
                </c:pt>
                <c:pt idx="10">
                  <c:v>0.6860862702879796</c:v>
                </c:pt>
                <c:pt idx="11">
                  <c:v>0.7472398108589258</c:v>
                </c:pt>
                <c:pt idx="12">
                  <c:v>0.8106174108370918</c:v>
                </c:pt>
                <c:pt idx="13">
                  <c:v>0.8761933426865828</c:v>
                </c:pt>
                <c:pt idx="14">
                  <c:v>0.9439433017589193</c:v>
                </c:pt>
                <c:pt idx="15">
                  <c:v>1.013844270589284</c:v>
                </c:pt>
                <c:pt idx="16">
                  <c:v>1.085874401133879</c:v>
                </c:pt>
                <c:pt idx="17">
                  <c:v>1.1600129119668137</c:v>
                </c:pt>
                <c:pt idx="18">
                  <c:v>1.2362399980441787</c:v>
                </c:pt>
                <c:pt idx="19">
                  <c:v>1.314536751098564</c:v>
                </c:pt>
                <c:pt idx="20">
                  <c:v>1.3948850890832047</c:v>
                </c:pt>
                <c:pt idx="21">
                  <c:v>1.4772676933655406</c:v>
                </c:pt>
                <c:pt idx="22">
                  <c:v>1.5616679525932975</c:v>
                </c:pt>
                <c:pt idx="23">
                  <c:v>1.6480699123351974</c:v>
                </c:pt>
                <c:pt idx="24">
                  <c:v>1.736458229743167</c:v>
                </c:pt>
                <c:pt idx="25">
                  <c:v>1.8268181326006003</c:v>
                </c:pt>
                <c:pt idx="26">
                  <c:v>1.9191353822177664</c:v>
                </c:pt>
                <c:pt idx="27">
                  <c:v>2.013396239714913</c:v>
                </c:pt>
                <c:pt idx="28">
                  <c:v>2.1095874352996002</c:v>
                </c:pt>
                <c:pt idx="29">
                  <c:v>2.2076961401997304</c:v>
                </c:pt>
                <c:pt idx="30">
                  <c:v>2.3077099409598127</c:v>
                </c:pt>
                <c:pt idx="31">
                  <c:v>2.409616815846786</c:v>
                </c:pt>
                <c:pt idx="32">
                  <c:v>2.5134051131445374</c:v>
                </c:pt>
                <c:pt idx="33">
                  <c:v>2.619063531144146</c:v>
                </c:pt>
                <c:pt idx="34">
                  <c:v>2.726581099660633</c:v>
                </c:pt>
                <c:pt idx="35">
                  <c:v>2.8359471629274298</c:v>
                </c:pt>
                <c:pt idx="36">
                  <c:v>2.947151363737268</c:v>
                </c:pt>
                <c:pt idx="37">
                  <c:v>3.060183628713286</c:v>
                </c:pt>
                <c:pt idx="38">
                  <c:v>3.1750341546073213</c:v>
                </c:pt>
                <c:pt idx="39">
                  <c:v>3.2916933955336183</c:v>
                </c:pt>
                <c:pt idx="40">
                  <c:v>3.4101520510561842</c:v>
                </c:pt>
                <c:pt idx="41">
                  <c:v>3.530401055056642</c:v>
                </c:pt>
                <c:pt idx="42">
                  <c:v>3.652431565317012</c:v>
                </c:pt>
                <c:pt idx="43">
                  <c:v>3.77623495375856</c:v>
                </c:pt>
                <c:pt idx="44">
                  <c:v>3.901802797283667</c:v>
                </c:pt>
                <c:pt idx="45">
                  <c:v>4.029126869172961</c:v>
                </c:pt>
                <c:pt idx="46">
                  <c:v>4.1581991309944355</c:v>
                </c:pt>
                <c:pt idx="47">
                  <c:v>4.289011724985464</c:v>
                </c:pt>
                <c:pt idx="48">
                  <c:v>4.421556966872187</c:v>
                </c:pt>
                <c:pt idx="49">
                  <c:v>4.555827339093984</c:v>
                </c:pt>
                <c:pt idx="50">
                  <c:v>4.6918154844037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'F134'!$G$5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'F134'!$E$6:$E$56</c:f>
              <c:numCache>
                <c:ptCount val="5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</c:numCache>
            </c:numRef>
          </c:cat>
          <c:val>
            <c:numRef>
              <c:f>'F134'!$G$6:$G$56</c:f>
              <c:numCache>
                <c:ptCount val="51"/>
                <c:pt idx="0">
                  <c:v>3.999999999999999</c:v>
                </c:pt>
                <c:pt idx="1">
                  <c:v>3.999999999999999</c:v>
                </c:pt>
                <c:pt idx="2">
                  <c:v>3.999999999999999</c:v>
                </c:pt>
                <c:pt idx="3">
                  <c:v>3.999999999999999</c:v>
                </c:pt>
                <c:pt idx="4">
                  <c:v>3.999999999999999</c:v>
                </c:pt>
                <c:pt idx="5">
                  <c:v>3.999999999999999</c:v>
                </c:pt>
                <c:pt idx="6">
                  <c:v>3.999999999999999</c:v>
                </c:pt>
                <c:pt idx="7">
                  <c:v>3.999999999999999</c:v>
                </c:pt>
                <c:pt idx="8">
                  <c:v>3.999999999999999</c:v>
                </c:pt>
                <c:pt idx="9">
                  <c:v>3.999999999999999</c:v>
                </c:pt>
                <c:pt idx="10">
                  <c:v>3.999999999999999</c:v>
                </c:pt>
                <c:pt idx="11">
                  <c:v>3.999999999999999</c:v>
                </c:pt>
                <c:pt idx="12">
                  <c:v>3.999999999999999</c:v>
                </c:pt>
                <c:pt idx="13">
                  <c:v>3.999999999999999</c:v>
                </c:pt>
                <c:pt idx="14">
                  <c:v>3.999999999999999</c:v>
                </c:pt>
                <c:pt idx="15">
                  <c:v>3.999999999999999</c:v>
                </c:pt>
                <c:pt idx="16">
                  <c:v>3.999999999999999</c:v>
                </c:pt>
                <c:pt idx="17">
                  <c:v>3.999999999999999</c:v>
                </c:pt>
                <c:pt idx="18">
                  <c:v>3.999999999999999</c:v>
                </c:pt>
                <c:pt idx="19">
                  <c:v>3.999999999999999</c:v>
                </c:pt>
                <c:pt idx="20">
                  <c:v>3.999999999999999</c:v>
                </c:pt>
                <c:pt idx="21">
                  <c:v>3.999999999999999</c:v>
                </c:pt>
                <c:pt idx="22">
                  <c:v>3.999999999999999</c:v>
                </c:pt>
                <c:pt idx="23">
                  <c:v>3.999999999999999</c:v>
                </c:pt>
                <c:pt idx="24">
                  <c:v>3.999999999999999</c:v>
                </c:pt>
                <c:pt idx="25">
                  <c:v>3.999999999999999</c:v>
                </c:pt>
                <c:pt idx="26">
                  <c:v>3.999999999999999</c:v>
                </c:pt>
                <c:pt idx="27">
                  <c:v>3.999999999999999</c:v>
                </c:pt>
                <c:pt idx="28">
                  <c:v>3.999999999999999</c:v>
                </c:pt>
                <c:pt idx="29">
                  <c:v>3.999999999999999</c:v>
                </c:pt>
                <c:pt idx="30">
                  <c:v>3.999999999999999</c:v>
                </c:pt>
                <c:pt idx="31">
                  <c:v>3.999999999999999</c:v>
                </c:pt>
                <c:pt idx="32">
                  <c:v>3.999999999999999</c:v>
                </c:pt>
                <c:pt idx="33">
                  <c:v>3.999999999999999</c:v>
                </c:pt>
                <c:pt idx="34">
                  <c:v>3.999999999999999</c:v>
                </c:pt>
                <c:pt idx="35">
                  <c:v>3.999999999999999</c:v>
                </c:pt>
                <c:pt idx="36">
                  <c:v>3.999999999999999</c:v>
                </c:pt>
                <c:pt idx="37">
                  <c:v>3.999999999999999</c:v>
                </c:pt>
                <c:pt idx="38">
                  <c:v>3.999999999999999</c:v>
                </c:pt>
                <c:pt idx="39">
                  <c:v>3.999999999999999</c:v>
                </c:pt>
                <c:pt idx="40">
                  <c:v>3.999999999999999</c:v>
                </c:pt>
                <c:pt idx="41">
                  <c:v>3.999999999999999</c:v>
                </c:pt>
                <c:pt idx="42">
                  <c:v>3.999999999999999</c:v>
                </c:pt>
                <c:pt idx="43">
                  <c:v>3.999999999999999</c:v>
                </c:pt>
                <c:pt idx="44">
                  <c:v>3.999999999999999</c:v>
                </c:pt>
                <c:pt idx="45">
                  <c:v>3.999999999999999</c:v>
                </c:pt>
                <c:pt idx="46">
                  <c:v>3.999999999999999</c:v>
                </c:pt>
                <c:pt idx="47">
                  <c:v>3.999999999999999</c:v>
                </c:pt>
                <c:pt idx="48">
                  <c:v>3.999999999999999</c:v>
                </c:pt>
                <c:pt idx="49">
                  <c:v>3.999999999999999</c:v>
                </c:pt>
                <c:pt idx="50">
                  <c:v>3.999999999999999</c:v>
                </c:pt>
              </c:numCache>
            </c:numRef>
          </c:val>
          <c:smooth val="0"/>
        </c:ser>
        <c:axId val="5039841"/>
        <c:axId val="59154210"/>
      </c:lineChart>
      <c:catAx>
        <c:axId val="503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Portata (litri/min)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54210"/>
        <c:crosses val="autoZero"/>
        <c:auto val="0"/>
        <c:lblOffset val="100"/>
        <c:tickLblSkip val="10"/>
        <c:tickMarkSkip val="2"/>
        <c:noMultiLvlLbl val="0"/>
      </c:catAx>
      <c:valAx>
        <c:axId val="5915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Perdite di carico (m.c.l.)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9841"/>
        <c:crossesAt val="1"/>
        <c:crossBetween val="midCat"/>
        <c:dispUnits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Curva caratteristica di una pompa</a:t>
            </a:r>
          </a:p>
        </c:rich>
      </c:tx>
      <c:layout/>
      <c:spPr>
        <a:solidFill>
          <a:srgbClr val="FFFFC0"/>
        </a:solidFill>
        <a:ln w="3175">
          <a:noFill/>
        </a:ln>
      </c:spPr>
    </c:title>
    <c:plotArea>
      <c:layout>
        <c:manualLayout>
          <c:xMode val="edge"/>
          <c:yMode val="edge"/>
          <c:x val="0.10275"/>
          <c:y val="0.176"/>
          <c:w val="0.8702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'F152'!$B$3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'F152'!$A$4:$A$59</c:f>
              <c:numCache>
                <c:ptCount val="5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</c:numCache>
            </c:numRef>
          </c:cat>
          <c:val>
            <c:numRef>
              <c:f>'F152'!$B$4:$B$59</c:f>
              <c:numCache>
                <c:ptCount val="56"/>
                <c:pt idx="0">
                  <c:v>11</c:v>
                </c:pt>
                <c:pt idx="1">
                  <c:v>10.95</c:v>
                </c:pt>
                <c:pt idx="2">
                  <c:v>10.9</c:v>
                </c:pt>
                <c:pt idx="3">
                  <c:v>10.85</c:v>
                </c:pt>
                <c:pt idx="4">
                  <c:v>10.8</c:v>
                </c:pt>
                <c:pt idx="5">
                  <c:v>10.75</c:v>
                </c:pt>
                <c:pt idx="6">
                  <c:v>10.7</c:v>
                </c:pt>
                <c:pt idx="7">
                  <c:v>10.65</c:v>
                </c:pt>
                <c:pt idx="8">
                  <c:v>10.6</c:v>
                </c:pt>
                <c:pt idx="9">
                  <c:v>10.55</c:v>
                </c:pt>
                <c:pt idx="10">
                  <c:v>10.5</c:v>
                </c:pt>
                <c:pt idx="11">
                  <c:v>10.4</c:v>
                </c:pt>
                <c:pt idx="12">
                  <c:v>10.3</c:v>
                </c:pt>
                <c:pt idx="13">
                  <c:v>10.2</c:v>
                </c:pt>
                <c:pt idx="14">
                  <c:v>10.1</c:v>
                </c:pt>
                <c:pt idx="15">
                  <c:v>10</c:v>
                </c:pt>
                <c:pt idx="16">
                  <c:v>9.9</c:v>
                </c:pt>
                <c:pt idx="17">
                  <c:v>9.8</c:v>
                </c:pt>
                <c:pt idx="18">
                  <c:v>9.7</c:v>
                </c:pt>
                <c:pt idx="19">
                  <c:v>9.6</c:v>
                </c:pt>
                <c:pt idx="20">
                  <c:v>9.5</c:v>
                </c:pt>
                <c:pt idx="21">
                  <c:v>9.35</c:v>
                </c:pt>
                <c:pt idx="22">
                  <c:v>9.2</c:v>
                </c:pt>
                <c:pt idx="23">
                  <c:v>9.05</c:v>
                </c:pt>
                <c:pt idx="24">
                  <c:v>8.9</c:v>
                </c:pt>
                <c:pt idx="25">
                  <c:v>8.75</c:v>
                </c:pt>
                <c:pt idx="26">
                  <c:v>8.6</c:v>
                </c:pt>
                <c:pt idx="27">
                  <c:v>8.45</c:v>
                </c:pt>
                <c:pt idx="28">
                  <c:v>8.3</c:v>
                </c:pt>
                <c:pt idx="29">
                  <c:v>8.15</c:v>
                </c:pt>
                <c:pt idx="30">
                  <c:v>8</c:v>
                </c:pt>
                <c:pt idx="31">
                  <c:v>7.8</c:v>
                </c:pt>
                <c:pt idx="32">
                  <c:v>7.6</c:v>
                </c:pt>
                <c:pt idx="33">
                  <c:v>7.4</c:v>
                </c:pt>
                <c:pt idx="34">
                  <c:v>7.2</c:v>
                </c:pt>
                <c:pt idx="35">
                  <c:v>7</c:v>
                </c:pt>
                <c:pt idx="36">
                  <c:v>6.8</c:v>
                </c:pt>
                <c:pt idx="37">
                  <c:v>6.6</c:v>
                </c:pt>
                <c:pt idx="38">
                  <c:v>6.4</c:v>
                </c:pt>
                <c:pt idx="39">
                  <c:v>6.2</c:v>
                </c:pt>
                <c:pt idx="40">
                  <c:v>6</c:v>
                </c:pt>
                <c:pt idx="41">
                  <c:v>5.73</c:v>
                </c:pt>
                <c:pt idx="42">
                  <c:v>5.46</c:v>
                </c:pt>
                <c:pt idx="43">
                  <c:v>5.1899999999999995</c:v>
                </c:pt>
                <c:pt idx="44">
                  <c:v>4.92</c:v>
                </c:pt>
                <c:pt idx="45">
                  <c:v>4.65</c:v>
                </c:pt>
                <c:pt idx="46">
                  <c:v>4.38</c:v>
                </c:pt>
                <c:pt idx="47">
                  <c:v>4.109999999999999</c:v>
                </c:pt>
                <c:pt idx="48">
                  <c:v>3.84</c:v>
                </c:pt>
                <c:pt idx="49">
                  <c:v>3.57</c:v>
                </c:pt>
                <c:pt idx="50">
                  <c:v>3.3</c:v>
                </c:pt>
                <c:pt idx="51">
                  <c:v>2.8666666666666667</c:v>
                </c:pt>
                <c:pt idx="52">
                  <c:v>2.433333333333333</c:v>
                </c:pt>
                <c:pt idx="53">
                  <c:v>2</c:v>
                </c:pt>
              </c:numCache>
            </c:numRef>
          </c:val>
          <c:smooth val="0"/>
        </c:ser>
        <c:axId val="19818403"/>
        <c:axId val="13127780"/>
      </c:lineChart>
      <c:catAx>
        <c:axId val="1981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Portata (litri/min)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13127780"/>
        <c:crosses val="autoZero"/>
        <c:auto val="0"/>
        <c:lblOffset val="100"/>
        <c:tickLblSkip val="10"/>
        <c:tickMarkSkip val="2"/>
        <c:noMultiLvlLbl val="0"/>
      </c:catAx>
      <c:valAx>
        <c:axId val="1312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Prevalenza (m.c.l.)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19818403"/>
        <c:crossesAt val="1"/>
        <c:crossBetween val="midCat"/>
        <c:dispUnits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Prevalenza in funzione della portata</a:t>
            </a:r>
          </a:p>
        </c:rich>
      </c:tx>
      <c:layout/>
      <c:spPr>
        <a:solidFill>
          <a:srgbClr val="FFFFC0"/>
        </a:solidFill>
        <a:ln w="3175">
          <a:noFill/>
        </a:ln>
      </c:spPr>
    </c:title>
    <c:plotArea>
      <c:layout>
        <c:manualLayout>
          <c:xMode val="edge"/>
          <c:yMode val="edge"/>
          <c:x val="0.09775"/>
          <c:y val="0.18775"/>
          <c:w val="0.876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'F153'!$I$4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'F153'!$H$5:$H$65</c:f>
              <c:numCache>
                <c:ptCount val="6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</c:numCache>
            </c:numRef>
          </c:cat>
          <c:val>
            <c:numRef>
              <c:f>'F153'!$I$5:$I$65</c:f>
              <c:numCache>
                <c:ptCount val="61"/>
                <c:pt idx="0">
                  <c:v>70</c:v>
                </c:pt>
                <c:pt idx="1">
                  <c:v>70.02941638672417</c:v>
                </c:pt>
                <c:pt idx="2">
                  <c:v>70.09894453658427</c:v>
                </c:pt>
                <c:pt idx="3">
                  <c:v>70.20116458338353</c:v>
                </c:pt>
                <c:pt idx="4">
                  <c:v>70.33280842449061</c:v>
                </c:pt>
                <c:pt idx="5">
                  <c:v>70.49179808573057</c:v>
                </c:pt>
                <c:pt idx="6">
                  <c:v>70.6766343081729</c:v>
                </c:pt>
                <c:pt idx="7">
                  <c:v>70.88615745697183</c:v>
                </c:pt>
                <c:pt idx="8">
                  <c:v>71.11942964448156</c:v>
                </c:pt>
                <c:pt idx="9">
                  <c:v>71.37566826229641</c:v>
                </c:pt>
                <c:pt idx="10">
                  <c:v>71.65420498927787</c:v>
                </c:pt>
                <c:pt idx="11">
                  <c:v>71.95445882460145</c:v>
                </c:pt>
                <c:pt idx="12">
                  <c:v>72.27591745672103</c:v>
                </c:pt>
                <c:pt idx="13">
                  <c:v>72.6181238859813</c:v>
                </c:pt>
                <c:pt idx="14">
                  <c:v>72.98066651567183</c:v>
                </c:pt>
                <c:pt idx="15">
                  <c:v>73.36317162105901</c:v>
                </c:pt>
                <c:pt idx="16">
                  <c:v>73.76529750069312</c:v>
                </c:pt>
                <c:pt idx="17">
                  <c:v>74.18672984974336</c:v>
                </c:pt>
                <c:pt idx="18">
                  <c:v>74.62717804137343</c:v>
                </c:pt>
                <c:pt idx="19">
                  <c:v>75.08637209621722</c:v>
                </c:pt>
                <c:pt idx="20">
                  <c:v>75.56406018231431</c:v>
                </c:pt>
                <c:pt idx="21">
                  <c:v>76.06000653022113</c:v>
                </c:pt>
                <c:pt idx="22">
                  <c:v>76.57398967747336</c:v>
                </c:pt>
                <c:pt idx="23">
                  <c:v>77.10580097748489</c:v>
                </c:pt>
                <c:pt idx="24">
                  <c:v>77.65524332308027</c:v>
                </c:pt>
                <c:pt idx="25">
                  <c:v>78.22213004595693</c:v>
                </c:pt>
                <c:pt idx="26">
                  <c:v>78.80628396164724</c:v>
                </c:pt>
                <c:pt idx="27">
                  <c:v>79.40753653580015</c:v>
                </c:pt>
                <c:pt idx="28">
                  <c:v>80.02572715238088</c:v>
                </c:pt>
                <c:pt idx="29">
                  <c:v>80.66070246808212</c:v>
                </c:pt>
                <c:pt idx="30">
                  <c:v>81.31231584012617</c:v>
                </c:pt>
                <c:pt idx="31">
                  <c:v>81.98042681691383</c:v>
                </c:pt>
                <c:pt idx="32">
                  <c:v>82.66490068278648</c:v>
                </c:pt>
                <c:pt idx="33">
                  <c:v>83.36560804961958</c:v>
                </c:pt>
                <c:pt idx="34">
                  <c:v>84.08242448913965</c:v>
                </c:pt>
                <c:pt idx="35">
                  <c:v>84.81523020081175</c:v>
                </c:pt>
                <c:pt idx="36">
                  <c:v>85.56390971092648</c:v>
                </c:pt>
                <c:pt idx="37">
                  <c:v>86.32835159916094</c:v>
                </c:pt>
                <c:pt idx="38">
                  <c:v>87.1084482494223</c:v>
                </c:pt>
                <c:pt idx="39">
                  <c:v>87.9040956222288</c:v>
                </c:pt>
                <c:pt idx="40">
                  <c:v>88.71519304625612</c:v>
                </c:pt>
                <c:pt idx="41">
                  <c:v>89.54164302699206</c:v>
                </c:pt>
                <c:pt idx="42">
                  <c:v>90.38335107070822</c:v>
                </c:pt>
                <c:pt idx="43">
                  <c:v>91.24022552218382</c:v>
                </c:pt>
                <c:pt idx="44">
                  <c:v>92.1121774148091</c:v>
                </c:pt>
                <c:pt idx="45">
                  <c:v>92.99912033186213</c:v>
                </c:pt>
                <c:pt idx="46">
                  <c:v>93.90097027789352</c:v>
                </c:pt>
                <c:pt idx="47">
                  <c:v>94.81764555927744</c:v>
                </c:pt>
                <c:pt idx="48">
                  <c:v>95.74906667309251</c:v>
                </c:pt>
                <c:pt idx="49">
                  <c:v>96.69515620358925</c:v>
                </c:pt>
                <c:pt idx="50">
                  <c:v>97.65583872558015</c:v>
                </c:pt>
                <c:pt idx="51">
                  <c:v>98.63104071415961</c:v>
                </c:pt>
                <c:pt idx="52">
                  <c:v>99.62069046022177</c:v>
                </c:pt>
                <c:pt idx="53">
                  <c:v>100.62471799129898</c:v>
                </c:pt>
                <c:pt idx="54">
                  <c:v>101.64305499729075</c:v>
                </c:pt>
                <c:pt idx="55">
                  <c:v>102.67563476069569</c:v>
                </c:pt>
                <c:pt idx="56">
                  <c:v>103.72239209099565</c:v>
                </c:pt>
                <c:pt idx="57">
                  <c:v>104.783263262875</c:v>
                </c:pt>
                <c:pt idx="58">
                  <c:v>105.85818595798676</c:v>
                </c:pt>
                <c:pt idx="59">
                  <c:v>106.94709921000424</c:v>
                </c:pt>
                <c:pt idx="60">
                  <c:v>108.04994335271964</c:v>
                </c:pt>
              </c:numCache>
            </c:numRef>
          </c:val>
          <c:smooth val="0"/>
        </c:ser>
        <c:axId val="47999333"/>
        <c:axId val="32948902"/>
      </c:lineChart>
      <c:catAx>
        <c:axId val="4799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</a:rPr>
                  <a:t>Portata (litri/min)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48902"/>
        <c:crosses val="autoZero"/>
        <c:auto val="0"/>
        <c:lblOffset val="100"/>
        <c:tickLblSkip val="10"/>
        <c:tickMarkSkip val="2"/>
        <c:noMultiLvlLbl val="0"/>
      </c:catAx>
      <c:valAx>
        <c:axId val="3294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</a:rPr>
                  <a:t>Prevalenza (m.c.l.)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99333"/>
        <c:crossesAt val="1"/>
        <c:crossBetween val="midCat"/>
        <c:dispUnits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Determinazione del punto di funzionamento di una pompa centrifuga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27775"/>
          <c:w val="0.832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'F154'!$H$4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'F154'!$G$5:$G$58</c:f>
              <c:numCache>
                <c:ptCount val="5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</c:numCache>
            </c:numRef>
          </c:cat>
          <c:val>
            <c:numRef>
              <c:f>'F154'!$H$5:$H$58</c:f>
              <c:numCache>
                <c:ptCount val="54"/>
                <c:pt idx="0">
                  <c:v>11</c:v>
                </c:pt>
                <c:pt idx="1">
                  <c:v>10.95</c:v>
                </c:pt>
                <c:pt idx="2">
                  <c:v>10.9</c:v>
                </c:pt>
                <c:pt idx="3">
                  <c:v>10.85</c:v>
                </c:pt>
                <c:pt idx="4">
                  <c:v>10.8</c:v>
                </c:pt>
                <c:pt idx="5">
                  <c:v>10.75</c:v>
                </c:pt>
                <c:pt idx="6">
                  <c:v>10.7</c:v>
                </c:pt>
                <c:pt idx="7">
                  <c:v>10.65</c:v>
                </c:pt>
                <c:pt idx="8">
                  <c:v>10.6</c:v>
                </c:pt>
                <c:pt idx="9">
                  <c:v>10.55</c:v>
                </c:pt>
                <c:pt idx="10">
                  <c:v>10.5</c:v>
                </c:pt>
                <c:pt idx="11">
                  <c:v>10.4</c:v>
                </c:pt>
                <c:pt idx="12">
                  <c:v>10.3</c:v>
                </c:pt>
                <c:pt idx="13">
                  <c:v>10.2</c:v>
                </c:pt>
                <c:pt idx="14">
                  <c:v>10.1</c:v>
                </c:pt>
                <c:pt idx="15">
                  <c:v>10</c:v>
                </c:pt>
                <c:pt idx="16">
                  <c:v>9.9</c:v>
                </c:pt>
                <c:pt idx="17">
                  <c:v>9.8</c:v>
                </c:pt>
                <c:pt idx="18">
                  <c:v>9.7</c:v>
                </c:pt>
                <c:pt idx="19">
                  <c:v>9.6</c:v>
                </c:pt>
                <c:pt idx="20">
                  <c:v>9.5</c:v>
                </c:pt>
                <c:pt idx="21">
                  <c:v>9.35</c:v>
                </c:pt>
                <c:pt idx="22">
                  <c:v>9.2</c:v>
                </c:pt>
                <c:pt idx="23">
                  <c:v>9.05</c:v>
                </c:pt>
                <c:pt idx="24">
                  <c:v>8.9</c:v>
                </c:pt>
                <c:pt idx="25">
                  <c:v>8.75</c:v>
                </c:pt>
                <c:pt idx="26">
                  <c:v>8.6</c:v>
                </c:pt>
                <c:pt idx="27">
                  <c:v>8.45</c:v>
                </c:pt>
                <c:pt idx="28">
                  <c:v>8.3</c:v>
                </c:pt>
                <c:pt idx="29">
                  <c:v>8.15</c:v>
                </c:pt>
                <c:pt idx="30">
                  <c:v>8</c:v>
                </c:pt>
                <c:pt idx="31">
                  <c:v>7.8</c:v>
                </c:pt>
                <c:pt idx="32">
                  <c:v>7.6</c:v>
                </c:pt>
                <c:pt idx="33">
                  <c:v>7.4</c:v>
                </c:pt>
                <c:pt idx="34">
                  <c:v>7.2</c:v>
                </c:pt>
                <c:pt idx="35">
                  <c:v>7</c:v>
                </c:pt>
                <c:pt idx="36">
                  <c:v>6.8</c:v>
                </c:pt>
                <c:pt idx="37">
                  <c:v>6.6</c:v>
                </c:pt>
                <c:pt idx="38">
                  <c:v>6.4</c:v>
                </c:pt>
                <c:pt idx="39">
                  <c:v>6.2</c:v>
                </c:pt>
                <c:pt idx="40">
                  <c:v>6</c:v>
                </c:pt>
                <c:pt idx="41">
                  <c:v>5.73</c:v>
                </c:pt>
                <c:pt idx="42">
                  <c:v>5.46</c:v>
                </c:pt>
                <c:pt idx="43">
                  <c:v>5.1899999999999995</c:v>
                </c:pt>
                <c:pt idx="44">
                  <c:v>4.92</c:v>
                </c:pt>
                <c:pt idx="45">
                  <c:v>4.65</c:v>
                </c:pt>
                <c:pt idx="46">
                  <c:v>4.38</c:v>
                </c:pt>
                <c:pt idx="47">
                  <c:v>4.109999999999999</c:v>
                </c:pt>
                <c:pt idx="48">
                  <c:v>3.84</c:v>
                </c:pt>
                <c:pt idx="49">
                  <c:v>3.57</c:v>
                </c:pt>
                <c:pt idx="50">
                  <c:v>3.3</c:v>
                </c:pt>
                <c:pt idx="51">
                  <c:v>2.8666666666666667</c:v>
                </c:pt>
                <c:pt idx="52">
                  <c:v>2.433333333333333</c:v>
                </c:pt>
                <c:pt idx="5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'F154'!$I$4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'F154'!$G$5:$G$58</c:f>
              <c:numCache>
                <c:ptCount val="5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</c:numCache>
            </c:numRef>
          </c:cat>
          <c:val>
            <c:numRef>
              <c:f>'F154'!$I$5:$I$58</c:f>
              <c:numCache>
                <c:ptCount val="54"/>
                <c:pt idx="0">
                  <c:v>5</c:v>
                </c:pt>
                <c:pt idx="1">
                  <c:v>5.029416386724165</c:v>
                </c:pt>
                <c:pt idx="2">
                  <c:v>5.09894453658427</c:v>
                </c:pt>
                <c:pt idx="3">
                  <c:v>5.201164583383536</c:v>
                </c:pt>
                <c:pt idx="4">
                  <c:v>5.332808424490609</c:v>
                </c:pt>
                <c:pt idx="5">
                  <c:v>5.491798085730563</c:v>
                </c:pt>
                <c:pt idx="6">
                  <c:v>5.676634308172887</c:v>
                </c:pt>
                <c:pt idx="7">
                  <c:v>5.886157456971827</c:v>
                </c:pt>
                <c:pt idx="8">
                  <c:v>6.119429644481557</c:v>
                </c:pt>
                <c:pt idx="9">
                  <c:v>6.37566826229641</c:v>
                </c:pt>
                <c:pt idx="10">
                  <c:v>6.654204989277877</c:v>
                </c:pt>
                <c:pt idx="11">
                  <c:v>6.954458824601442</c:v>
                </c:pt>
                <c:pt idx="12">
                  <c:v>7.275917456721031</c:v>
                </c:pt>
                <c:pt idx="13">
                  <c:v>7.618123885981312</c:v>
                </c:pt>
                <c:pt idx="14">
                  <c:v>7.980666515671829</c:v>
                </c:pt>
                <c:pt idx="15">
                  <c:v>8.363171621059005</c:v>
                </c:pt>
                <c:pt idx="16">
                  <c:v>8.765297500693126</c:v>
                </c:pt>
                <c:pt idx="17">
                  <c:v>9.186729849743362</c:v>
                </c:pt>
                <c:pt idx="18">
                  <c:v>9.62717804137343</c:v>
                </c:pt>
                <c:pt idx="19">
                  <c:v>10.086372096217211</c:v>
                </c:pt>
                <c:pt idx="20">
                  <c:v>10.564060182314305</c:v>
                </c:pt>
                <c:pt idx="21">
                  <c:v>11.060006530221138</c:v>
                </c:pt>
                <c:pt idx="22">
                  <c:v>11.573989677473362</c:v>
                </c:pt>
                <c:pt idx="23">
                  <c:v>12.105800977484886</c:v>
                </c:pt>
                <c:pt idx="24">
                  <c:v>12.655243323080267</c:v>
                </c:pt>
                <c:pt idx="25">
                  <c:v>13.222130045956927</c:v>
                </c:pt>
                <c:pt idx="26">
                  <c:v>13.806283961647239</c:v>
                </c:pt>
                <c:pt idx="27">
                  <c:v>14.407536535800142</c:v>
                </c:pt>
                <c:pt idx="28">
                  <c:v>15.025727152380881</c:v>
                </c:pt>
                <c:pt idx="29">
                  <c:v>15.660702468082128</c:v>
                </c:pt>
                <c:pt idx="30">
                  <c:v>16.312315840126168</c:v>
                </c:pt>
                <c:pt idx="31">
                  <c:v>16.980426816913834</c:v>
                </c:pt>
                <c:pt idx="32">
                  <c:v>17.66490068278648</c:v>
                </c:pt>
                <c:pt idx="33">
                  <c:v>18.36560804961958</c:v>
                </c:pt>
                <c:pt idx="34">
                  <c:v>19.08242448913966</c:v>
                </c:pt>
                <c:pt idx="35">
                  <c:v>19.815230200811758</c:v>
                </c:pt>
                <c:pt idx="36">
                  <c:v>20.56390971092648</c:v>
                </c:pt>
                <c:pt idx="37">
                  <c:v>21.32835159916094</c:v>
                </c:pt>
                <c:pt idx="38">
                  <c:v>22.1084482494223</c:v>
                </c:pt>
                <c:pt idx="39">
                  <c:v>22.9040956222288</c:v>
                </c:pt>
                <c:pt idx="40">
                  <c:v>23.715193046256115</c:v>
                </c:pt>
                <c:pt idx="41">
                  <c:v>24.541643026992055</c:v>
                </c:pt>
                <c:pt idx="42">
                  <c:v>25.383351070708223</c:v>
                </c:pt>
                <c:pt idx="43">
                  <c:v>26.240225522183817</c:v>
                </c:pt>
                <c:pt idx="44">
                  <c:v>27.112177414809093</c:v>
                </c:pt>
                <c:pt idx="45">
                  <c:v>27.99912033186213</c:v>
                </c:pt>
                <c:pt idx="46">
                  <c:v>28.900970277893528</c:v>
                </c:pt>
                <c:pt idx="47">
                  <c:v>29.817645559277437</c:v>
                </c:pt>
                <c:pt idx="48">
                  <c:v>30.74906667309251</c:v>
                </c:pt>
                <c:pt idx="49">
                  <c:v>31.695156203589242</c:v>
                </c:pt>
                <c:pt idx="50">
                  <c:v>32.65583872558015</c:v>
                </c:pt>
                <c:pt idx="51">
                  <c:v>33.63104071415962</c:v>
                </c:pt>
                <c:pt idx="52">
                  <c:v>34.620690460221766</c:v>
                </c:pt>
                <c:pt idx="53">
                  <c:v>35.62471799129898</c:v>
                </c:pt>
              </c:numCache>
            </c:numRef>
          </c:val>
          <c:smooth val="0"/>
        </c:ser>
        <c:axId val="61303847"/>
        <c:axId val="25327080"/>
      </c:lineChart>
      <c:catAx>
        <c:axId val="61303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</a:rPr>
                  <a:t>Portata (litri/min)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27080"/>
        <c:crosses val="autoZero"/>
        <c:auto val="0"/>
        <c:lblOffset val="100"/>
        <c:tickLblSkip val="10"/>
        <c:tickMarkSkip val="2"/>
        <c:noMultiLvlLbl val="0"/>
      </c:catAx>
      <c:valAx>
        <c:axId val="2532708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</a:rPr>
                  <a:t>Prevalenza (m.c.l.)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03847"/>
        <c:crossesAt val="1"/>
        <c:crossBetween val="midCat"/>
        <c:dispUnits/>
        <c:majorUnit val="2"/>
        <c:minorUnit val="1"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4</xdr:row>
      <xdr:rowOff>9525</xdr:rowOff>
    </xdr:from>
    <xdr:to>
      <xdr:col>3</xdr:col>
      <xdr:colOff>9525</xdr:colOff>
      <xdr:row>16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800100"/>
          <a:ext cx="1314450" cy="2238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2</xdr:col>
      <xdr:colOff>133350</xdr:colOff>
      <xdr:row>2</xdr:row>
      <xdr:rowOff>200025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7625"/>
          <a:ext cx="14954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33375" y="942975"/>
          <a:ext cx="224790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33375" y="2371725"/>
          <a:ext cx="224790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8</xdr:col>
      <xdr:colOff>209550</xdr:colOff>
      <xdr:row>1</xdr:row>
      <xdr:rowOff>95250</xdr:rowOff>
    </xdr:to>
    <xdr:sp>
      <xdr:nvSpPr>
        <xdr:cNvPr id="3" name="Testo 5"/>
        <xdr:cNvSpPr txBox="1">
          <a:spLocks noChangeArrowheads="1"/>
        </xdr:cNvSpPr>
      </xdr:nvSpPr>
      <xdr:spPr>
        <a:xfrm>
          <a:off x="1381125" y="9525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161925</xdr:rowOff>
    </xdr:from>
    <xdr:to>
      <xdr:col>3</xdr:col>
      <xdr:colOff>676275</xdr:colOff>
      <xdr:row>23</xdr:row>
      <xdr:rowOff>66675</xdr:rowOff>
    </xdr:to>
    <xdr:graphicFrame>
      <xdr:nvGraphicFramePr>
        <xdr:cNvPr id="1" name="Chart 5"/>
        <xdr:cNvGraphicFramePr/>
      </xdr:nvGraphicFramePr>
      <xdr:xfrm>
        <a:off x="342900" y="1762125"/>
        <a:ext cx="33528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7"/>
        <xdr:cNvSpPr>
          <a:spLocks/>
        </xdr:cNvSpPr>
      </xdr:nvSpPr>
      <xdr:spPr>
        <a:xfrm>
          <a:off x="714375" y="571500"/>
          <a:ext cx="230505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9</xdr:col>
      <xdr:colOff>85725</xdr:colOff>
      <xdr:row>1</xdr:row>
      <xdr:rowOff>133350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762125" y="95250"/>
          <a:ext cx="47720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F132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28600" y="609600"/>
          <a:ext cx="27527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28600" y="2028825"/>
          <a:ext cx="27527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35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228600" y="3648075"/>
          <a:ext cx="3248025" cy="3533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6</xdr:col>
      <xdr:colOff>590550</xdr:colOff>
      <xdr:row>1</xdr:row>
      <xdr:rowOff>104775</xdr:rowOff>
    </xdr:to>
    <xdr:sp>
      <xdr:nvSpPr>
        <xdr:cNvPr id="4" name="Testo 15"/>
        <xdr:cNvSpPr txBox="1">
          <a:spLocks noChangeArrowheads="1"/>
        </xdr:cNvSpPr>
      </xdr:nvSpPr>
      <xdr:spPr>
        <a:xfrm>
          <a:off x="1276350" y="95250"/>
          <a:ext cx="4981575" cy="2095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F133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22</xdr:row>
      <xdr:rowOff>66675</xdr:rowOff>
    </xdr:from>
    <xdr:to>
      <xdr:col>1</xdr:col>
      <xdr:colOff>419100</xdr:colOff>
      <xdr:row>26</xdr:row>
      <xdr:rowOff>85725</xdr:rowOff>
    </xdr:to>
    <xdr:sp>
      <xdr:nvSpPr>
        <xdr:cNvPr id="1" name="Oval 6"/>
        <xdr:cNvSpPr>
          <a:spLocks/>
        </xdr:cNvSpPr>
      </xdr:nvSpPr>
      <xdr:spPr>
        <a:xfrm>
          <a:off x="561975" y="4514850"/>
          <a:ext cx="619125" cy="819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30</xdr:row>
      <xdr:rowOff>38100</xdr:rowOff>
    </xdr:from>
    <xdr:to>
      <xdr:col>1</xdr:col>
      <xdr:colOff>419100</xdr:colOff>
      <xdr:row>34</xdr:row>
      <xdr:rowOff>66675</xdr:rowOff>
    </xdr:to>
    <xdr:sp>
      <xdr:nvSpPr>
        <xdr:cNvPr id="2" name="Oval 8"/>
        <xdr:cNvSpPr>
          <a:spLocks/>
        </xdr:cNvSpPr>
      </xdr:nvSpPr>
      <xdr:spPr>
        <a:xfrm>
          <a:off x="561975" y="6086475"/>
          <a:ext cx="619125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66675</xdr:rowOff>
    </xdr:from>
    <xdr:to>
      <xdr:col>1</xdr:col>
      <xdr:colOff>419100</xdr:colOff>
      <xdr:row>32</xdr:row>
      <xdr:rowOff>85725</xdr:rowOff>
    </xdr:to>
    <xdr:sp>
      <xdr:nvSpPr>
        <xdr:cNvPr id="3" name="Rectangle 9"/>
        <xdr:cNvSpPr>
          <a:spLocks/>
        </xdr:cNvSpPr>
      </xdr:nvSpPr>
      <xdr:spPr>
        <a:xfrm>
          <a:off x="561975" y="4914900"/>
          <a:ext cx="6191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29</xdr:row>
      <xdr:rowOff>28575</xdr:rowOff>
    </xdr:from>
    <xdr:to>
      <xdr:col>1</xdr:col>
      <xdr:colOff>419100</xdr:colOff>
      <xdr:row>31</xdr:row>
      <xdr:rowOff>9525</xdr:rowOff>
    </xdr:to>
    <xdr:sp>
      <xdr:nvSpPr>
        <xdr:cNvPr id="4" name="Rectangle 10"/>
        <xdr:cNvSpPr>
          <a:spLocks/>
        </xdr:cNvSpPr>
      </xdr:nvSpPr>
      <xdr:spPr>
        <a:xfrm>
          <a:off x="561975" y="5876925"/>
          <a:ext cx="619125" cy="3810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22</xdr:row>
      <xdr:rowOff>85725</xdr:rowOff>
    </xdr:from>
    <xdr:to>
      <xdr:col>1</xdr:col>
      <xdr:colOff>1562100</xdr:colOff>
      <xdr:row>26</xdr:row>
      <xdr:rowOff>133350</xdr:rowOff>
    </xdr:to>
    <xdr:sp>
      <xdr:nvSpPr>
        <xdr:cNvPr id="5" name="Oval 15"/>
        <xdr:cNvSpPr>
          <a:spLocks/>
        </xdr:cNvSpPr>
      </xdr:nvSpPr>
      <xdr:spPr>
        <a:xfrm>
          <a:off x="1714500" y="4533900"/>
          <a:ext cx="609600" cy="847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30</xdr:row>
      <xdr:rowOff>76200</xdr:rowOff>
    </xdr:from>
    <xdr:to>
      <xdr:col>1</xdr:col>
      <xdr:colOff>1562100</xdr:colOff>
      <xdr:row>34</xdr:row>
      <xdr:rowOff>66675</xdr:rowOff>
    </xdr:to>
    <xdr:sp>
      <xdr:nvSpPr>
        <xdr:cNvPr id="6" name="Oval 16"/>
        <xdr:cNvSpPr>
          <a:spLocks/>
        </xdr:cNvSpPr>
      </xdr:nvSpPr>
      <xdr:spPr>
        <a:xfrm>
          <a:off x="1714500" y="6124575"/>
          <a:ext cx="609600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66675</xdr:rowOff>
    </xdr:from>
    <xdr:to>
      <xdr:col>1</xdr:col>
      <xdr:colOff>1562100</xdr:colOff>
      <xdr:row>32</xdr:row>
      <xdr:rowOff>85725</xdr:rowOff>
    </xdr:to>
    <xdr:sp>
      <xdr:nvSpPr>
        <xdr:cNvPr id="7" name="Rectangle 21"/>
        <xdr:cNvSpPr>
          <a:spLocks/>
        </xdr:cNvSpPr>
      </xdr:nvSpPr>
      <xdr:spPr>
        <a:xfrm>
          <a:off x="1714500" y="4914900"/>
          <a:ext cx="6096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29</xdr:row>
      <xdr:rowOff>28575</xdr:rowOff>
    </xdr:from>
    <xdr:to>
      <xdr:col>1</xdr:col>
      <xdr:colOff>1562100</xdr:colOff>
      <xdr:row>31</xdr:row>
      <xdr:rowOff>9525</xdr:rowOff>
    </xdr:to>
    <xdr:sp>
      <xdr:nvSpPr>
        <xdr:cNvPr id="8" name="Rectangle 22"/>
        <xdr:cNvSpPr>
          <a:spLocks/>
        </xdr:cNvSpPr>
      </xdr:nvSpPr>
      <xdr:spPr>
        <a:xfrm>
          <a:off x="1714500" y="5876925"/>
          <a:ext cx="609600" cy="3810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66675</xdr:rowOff>
    </xdr:from>
    <xdr:to>
      <xdr:col>1</xdr:col>
      <xdr:colOff>114300</xdr:colOff>
      <xdr:row>36</xdr:row>
      <xdr:rowOff>152400</xdr:rowOff>
    </xdr:to>
    <xdr:sp>
      <xdr:nvSpPr>
        <xdr:cNvPr id="9" name="Line 25"/>
        <xdr:cNvSpPr>
          <a:spLocks/>
        </xdr:cNvSpPr>
      </xdr:nvSpPr>
      <xdr:spPr>
        <a:xfrm>
          <a:off x="876300" y="691515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152400</xdr:rowOff>
    </xdr:from>
    <xdr:to>
      <xdr:col>1</xdr:col>
      <xdr:colOff>676275</xdr:colOff>
      <xdr:row>36</xdr:row>
      <xdr:rowOff>152400</xdr:rowOff>
    </xdr:to>
    <xdr:sp>
      <xdr:nvSpPr>
        <xdr:cNvPr id="10" name="Line 27"/>
        <xdr:cNvSpPr>
          <a:spLocks/>
        </xdr:cNvSpPr>
      </xdr:nvSpPr>
      <xdr:spPr>
        <a:xfrm flipH="1">
          <a:off x="885825" y="7400925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28</xdr:row>
      <xdr:rowOff>95250</xdr:rowOff>
    </xdr:from>
    <xdr:to>
      <xdr:col>1</xdr:col>
      <xdr:colOff>676275</xdr:colOff>
      <xdr:row>36</xdr:row>
      <xdr:rowOff>152400</xdr:rowOff>
    </xdr:to>
    <xdr:sp>
      <xdr:nvSpPr>
        <xdr:cNvPr id="11" name="Line 28"/>
        <xdr:cNvSpPr>
          <a:spLocks/>
        </xdr:cNvSpPr>
      </xdr:nvSpPr>
      <xdr:spPr>
        <a:xfrm flipV="1">
          <a:off x="1438275" y="5743575"/>
          <a:ext cx="0" cy="1657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28</xdr:row>
      <xdr:rowOff>95250</xdr:rowOff>
    </xdr:from>
    <xdr:to>
      <xdr:col>1</xdr:col>
      <xdr:colOff>952500</xdr:colOff>
      <xdr:row>28</xdr:row>
      <xdr:rowOff>95250</xdr:rowOff>
    </xdr:to>
    <xdr:sp>
      <xdr:nvSpPr>
        <xdr:cNvPr id="12" name="Line 29"/>
        <xdr:cNvSpPr>
          <a:spLocks/>
        </xdr:cNvSpPr>
      </xdr:nvSpPr>
      <xdr:spPr>
        <a:xfrm>
          <a:off x="1438275" y="5743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32</xdr:row>
      <xdr:rowOff>114300</xdr:rowOff>
    </xdr:from>
    <xdr:to>
      <xdr:col>1</xdr:col>
      <xdr:colOff>733425</xdr:colOff>
      <xdr:row>34</xdr:row>
      <xdr:rowOff>9525</xdr:rowOff>
    </xdr:to>
    <xdr:sp>
      <xdr:nvSpPr>
        <xdr:cNvPr id="13" name="Disegno 34"/>
        <xdr:cNvSpPr>
          <a:spLocks/>
        </xdr:cNvSpPr>
      </xdr:nvSpPr>
      <xdr:spPr>
        <a:xfrm>
          <a:off x="1381125" y="6562725"/>
          <a:ext cx="114300" cy="295275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0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38100</xdr:rowOff>
    </xdr:from>
    <xdr:to>
      <xdr:col>1</xdr:col>
      <xdr:colOff>171450</xdr:colOff>
      <xdr:row>36</xdr:row>
      <xdr:rowOff>85725</xdr:rowOff>
    </xdr:to>
    <xdr:sp>
      <xdr:nvSpPr>
        <xdr:cNvPr id="14" name="Disegno 36"/>
        <xdr:cNvSpPr>
          <a:spLocks/>
        </xdr:cNvSpPr>
      </xdr:nvSpPr>
      <xdr:spPr>
        <a:xfrm>
          <a:off x="819150" y="7086600"/>
          <a:ext cx="114300" cy="24765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0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161925</xdr:rowOff>
    </xdr:from>
    <xdr:to>
      <xdr:col>3</xdr:col>
      <xdr:colOff>400050</xdr:colOff>
      <xdr:row>57</xdr:row>
      <xdr:rowOff>152400</xdr:rowOff>
    </xdr:to>
    <xdr:graphicFrame>
      <xdr:nvGraphicFramePr>
        <xdr:cNvPr id="15" name="Chart 37"/>
        <xdr:cNvGraphicFramePr/>
      </xdr:nvGraphicFramePr>
      <xdr:xfrm>
        <a:off x="352425" y="7610475"/>
        <a:ext cx="3248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19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762000" y="2838450"/>
          <a:ext cx="243840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13</xdr:row>
      <xdr:rowOff>0</xdr:rowOff>
    </xdr:to>
    <xdr:sp>
      <xdr:nvSpPr>
        <xdr:cNvPr id="17" name="Rectangle 41"/>
        <xdr:cNvSpPr>
          <a:spLocks/>
        </xdr:cNvSpPr>
      </xdr:nvSpPr>
      <xdr:spPr>
        <a:xfrm>
          <a:off x="762000" y="609600"/>
          <a:ext cx="2438400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10</xdr:col>
      <xdr:colOff>152400</xdr:colOff>
      <xdr:row>1</xdr:row>
      <xdr:rowOff>95250</xdr:rowOff>
    </xdr:to>
    <xdr:sp>
      <xdr:nvSpPr>
        <xdr:cNvPr id="18" name="Testo 42"/>
        <xdr:cNvSpPr txBox="1">
          <a:spLocks noChangeArrowheads="1"/>
        </xdr:cNvSpPr>
      </xdr:nvSpPr>
      <xdr:spPr>
        <a:xfrm>
          <a:off x="1809750" y="95250"/>
          <a:ext cx="5219700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F134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28600" y="609600"/>
          <a:ext cx="273367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28600" y="2028825"/>
          <a:ext cx="273367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36</xdr:row>
      <xdr:rowOff>0</xdr:rowOff>
    </xdr:to>
    <xdr:sp>
      <xdr:nvSpPr>
        <xdr:cNvPr id="3" name="Rectangle 8"/>
        <xdr:cNvSpPr>
          <a:spLocks/>
        </xdr:cNvSpPr>
      </xdr:nvSpPr>
      <xdr:spPr>
        <a:xfrm>
          <a:off x="228600" y="3962400"/>
          <a:ext cx="3228975" cy="3533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10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3457575" y="609600"/>
          <a:ext cx="163830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6</xdr:col>
      <xdr:colOff>0</xdr:colOff>
      <xdr:row>18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3457575" y="3248025"/>
          <a:ext cx="16383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0</xdr:rowOff>
    </xdr:from>
    <xdr:to>
      <xdr:col>8</xdr:col>
      <xdr:colOff>571500</xdr:colOff>
      <xdr:row>9</xdr:row>
      <xdr:rowOff>200025</xdr:rowOff>
    </xdr:to>
    <xdr:sp>
      <xdr:nvSpPr>
        <xdr:cNvPr id="6" name="Testo 19"/>
        <xdr:cNvSpPr txBox="1">
          <a:spLocks noChangeArrowheads="1"/>
        </xdr:cNvSpPr>
      </xdr:nvSpPr>
      <xdr:spPr>
        <a:xfrm>
          <a:off x="5286375" y="609600"/>
          <a:ext cx="1809750" cy="14097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 questo foglio è possibile calcolare la prevalenza e la potenza utile sotto determinate condizioni. Esso è stato dedotto molto semplicemente aggiungendo al foglio F133 le espressioni necessarie, immesse nelle celle ...</a:t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7</xdr:col>
      <xdr:colOff>447675</xdr:colOff>
      <xdr:row>1</xdr:row>
      <xdr:rowOff>104775</xdr:rowOff>
    </xdr:to>
    <xdr:sp>
      <xdr:nvSpPr>
        <xdr:cNvPr id="7" name="Testo 20"/>
        <xdr:cNvSpPr txBox="1">
          <a:spLocks noChangeArrowheads="1"/>
        </xdr:cNvSpPr>
      </xdr:nvSpPr>
      <xdr:spPr>
        <a:xfrm>
          <a:off x="1276350" y="95250"/>
          <a:ext cx="4981575" cy="2095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F151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7</xdr:col>
      <xdr:colOff>552450</xdr:colOff>
      <xdr:row>22</xdr:row>
      <xdr:rowOff>85725</xdr:rowOff>
    </xdr:to>
    <xdr:graphicFrame>
      <xdr:nvGraphicFramePr>
        <xdr:cNvPr id="1" name="Chart 6"/>
        <xdr:cNvGraphicFramePr/>
      </xdr:nvGraphicFramePr>
      <xdr:xfrm>
        <a:off x="1924050" y="885825"/>
        <a:ext cx="3600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0</xdr:row>
      <xdr:rowOff>95250</xdr:rowOff>
    </xdr:from>
    <xdr:to>
      <xdr:col>9</xdr:col>
      <xdr:colOff>161925</xdr:colOff>
      <xdr:row>1</xdr:row>
      <xdr:rowOff>133350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676400" y="95250"/>
          <a:ext cx="49815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F152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152400</xdr:rowOff>
    </xdr:from>
    <xdr:to>
      <xdr:col>5</xdr:col>
      <xdr:colOff>95250</xdr:colOff>
      <xdr:row>47</xdr:row>
      <xdr:rowOff>76200</xdr:rowOff>
    </xdr:to>
    <xdr:graphicFrame>
      <xdr:nvGraphicFramePr>
        <xdr:cNvPr id="1" name="Chart 14"/>
        <xdr:cNvGraphicFramePr/>
      </xdr:nvGraphicFramePr>
      <xdr:xfrm>
        <a:off x="247650" y="6324600"/>
        <a:ext cx="38100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34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228600" y="3114675"/>
          <a:ext cx="3248025" cy="3057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228600" y="609600"/>
          <a:ext cx="2752725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9</xdr:col>
      <xdr:colOff>352425</xdr:colOff>
      <xdr:row>1</xdr:row>
      <xdr:rowOff>104775</xdr:rowOff>
    </xdr:to>
    <xdr:sp>
      <xdr:nvSpPr>
        <xdr:cNvPr id="4" name="Testo 19"/>
        <xdr:cNvSpPr txBox="1">
          <a:spLocks noChangeArrowheads="1"/>
        </xdr:cNvSpPr>
      </xdr:nvSpPr>
      <xdr:spPr>
        <a:xfrm>
          <a:off x="1276350" y="95250"/>
          <a:ext cx="5114925" cy="2095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F153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4</xdr:col>
      <xdr:colOff>0</xdr:colOff>
      <xdr:row>34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228600" y="3114675"/>
          <a:ext cx="3238500" cy="3057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180975</xdr:rowOff>
    </xdr:from>
    <xdr:to>
      <xdr:col>3</xdr:col>
      <xdr:colOff>76200</xdr:colOff>
      <xdr:row>51</xdr:row>
      <xdr:rowOff>85725</xdr:rowOff>
    </xdr:to>
    <xdr:graphicFrame>
      <xdr:nvGraphicFramePr>
        <xdr:cNvPr id="2" name="Chart 17"/>
        <xdr:cNvGraphicFramePr/>
      </xdr:nvGraphicFramePr>
      <xdr:xfrm>
        <a:off x="238125" y="6353175"/>
        <a:ext cx="28098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228600" y="609600"/>
          <a:ext cx="27432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95250</xdr:rowOff>
    </xdr:from>
    <xdr:to>
      <xdr:col>9</xdr:col>
      <xdr:colOff>142875</xdr:colOff>
      <xdr:row>1</xdr:row>
      <xdr:rowOff>104775</xdr:rowOff>
    </xdr:to>
    <xdr:sp>
      <xdr:nvSpPr>
        <xdr:cNvPr id="4" name="Testo 20"/>
        <xdr:cNvSpPr txBox="1">
          <a:spLocks noChangeArrowheads="1"/>
        </xdr:cNvSpPr>
      </xdr:nvSpPr>
      <xdr:spPr>
        <a:xfrm>
          <a:off x="1276350" y="95250"/>
          <a:ext cx="5010150" cy="2095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F154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%203\MacF153.xl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%203\MacF154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F153"/>
    </sheetNames>
    <definedNames>
      <definedName name="azzera" refersTo="=MacF153!$A$1"/>
    </definedNames>
    <sheetDataSet>
      <sheetData sheetId="0">
        <row r="1">
          <cell r="A1" t="str">
            <v>azzera (a)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F154"/>
    </sheetNames>
    <definedNames>
      <definedName name="azzera" refersTo="=MacF154!$A$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RowColHeaders="0" tabSelected="1"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8.140625" style="0" customWidth="1"/>
    <col min="2" max="2" width="5.8515625" style="0" customWidth="1"/>
    <col min="3" max="3" width="52.00390625" style="0" customWidth="1"/>
  </cols>
  <sheetData>
    <row r="1" spans="1:256" ht="15.75">
      <c r="A1" s="1"/>
      <c r="B1" s="1"/>
      <c r="C1" s="2" t="s">
        <v>0</v>
      </c>
      <c r="D1" s="5"/>
      <c r="E1" s="5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1"/>
      <c r="B2" s="1"/>
      <c r="C2" s="2" t="s">
        <v>1</v>
      </c>
      <c r="D2" s="6"/>
      <c r="E2" s="6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>
      <c r="A3" s="1"/>
      <c r="B3" s="1"/>
      <c r="C3" s="3" t="s">
        <v>2</v>
      </c>
      <c r="D3" s="5"/>
      <c r="E3" s="7"/>
      <c r="F3" s="1"/>
      <c r="G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ht="15">
      <c r="B5" s="4" t="s">
        <v>3</v>
      </c>
    </row>
    <row r="6" ht="15">
      <c r="B6" s="4" t="s">
        <v>4</v>
      </c>
    </row>
    <row r="7" ht="15">
      <c r="B7" s="4" t="s">
        <v>5</v>
      </c>
    </row>
    <row r="8" ht="15">
      <c r="B8" s="4" t="s">
        <v>6</v>
      </c>
    </row>
    <row r="9" ht="15">
      <c r="B9" s="4" t="s">
        <v>7</v>
      </c>
    </row>
    <row r="10" ht="15">
      <c r="B10" s="4" t="s">
        <v>8</v>
      </c>
    </row>
    <row r="11" ht="15">
      <c r="B11" s="4" t="s">
        <v>9</v>
      </c>
    </row>
    <row r="12" ht="15">
      <c r="B12" s="4" t="s">
        <v>10</v>
      </c>
    </row>
  </sheetData>
  <sheetProtection password="EF6E" sheet="1" objects="1" scenarios="1"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1" customWidth="1"/>
    <col min="2" max="2" width="26.8515625" style="12" customWidth="1"/>
    <col min="3" max="3" width="6.8515625" style="12" customWidth="1"/>
    <col min="4" max="16384" width="10.7109375" style="11" customWidth="1"/>
  </cols>
  <sheetData>
    <row r="1" spans="1:256" ht="15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15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26.25" customHeight="1">
      <c r="A3" s="8"/>
      <c r="B3" s="10"/>
      <c r="C3" s="9" t="s">
        <v>11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ht="16.5" thickBot="1"/>
    <row r="5" spans="2:3" ht="16.5" customHeight="1" thickBot="1">
      <c r="B5" s="13" t="s">
        <v>12</v>
      </c>
      <c r="C5" s="14"/>
    </row>
    <row r="6" spans="2:3" ht="15.75">
      <c r="B6" s="15" t="s">
        <v>13</v>
      </c>
      <c r="C6" s="16">
        <v>40</v>
      </c>
    </row>
    <row r="7" spans="2:3" ht="15.75">
      <c r="B7" s="17" t="s">
        <v>14</v>
      </c>
      <c r="C7" s="18">
        <v>200</v>
      </c>
    </row>
    <row r="8" spans="2:3" ht="15.75">
      <c r="B8" s="17" t="s">
        <v>15</v>
      </c>
      <c r="C8" s="18">
        <v>1000</v>
      </c>
    </row>
    <row r="9" spans="2:3" ht="15.75">
      <c r="B9" s="17" t="s">
        <v>16</v>
      </c>
      <c r="C9" s="18">
        <v>3</v>
      </c>
    </row>
    <row r="10" spans="2:3" ht="16.5" thickBot="1">
      <c r="B10" s="19" t="s">
        <v>17</v>
      </c>
      <c r="C10" s="20">
        <v>50</v>
      </c>
    </row>
    <row r="11" spans="2:3" ht="16.5" thickBot="1">
      <c r="B11" s="21"/>
      <c r="C11" s="21"/>
    </row>
    <row r="12" spans="2:3" ht="16.5" customHeight="1" thickBot="1">
      <c r="B12" s="13" t="s">
        <v>18</v>
      </c>
      <c r="C12" s="22"/>
    </row>
    <row r="13" spans="2:3" ht="15.75">
      <c r="B13" s="23" t="s">
        <v>19</v>
      </c>
      <c r="C13" s="24">
        <f>3.14*(C6/1000)^2/4</f>
        <v>0.0012560000000000002</v>
      </c>
    </row>
    <row r="14" spans="2:3" ht="15.75">
      <c r="B14" s="23" t="s">
        <v>20</v>
      </c>
      <c r="C14" s="25">
        <f>C7/60000/C13</f>
        <v>2.653927813163482</v>
      </c>
    </row>
    <row r="15" spans="2:3" ht="15.75">
      <c r="B15" s="23" t="s">
        <v>21</v>
      </c>
      <c r="C15" s="26">
        <f>+C14*C8*C6/1000/C9*1000</f>
        <v>35385.70417551309</v>
      </c>
    </row>
    <row r="16" spans="2:4" ht="15.75">
      <c r="B16" s="23" t="s">
        <v>22</v>
      </c>
      <c r="C16" s="25">
        <f>0.316/C15^0.25</f>
        <v>0.0230398751830331</v>
      </c>
      <c r="D16" s="27"/>
    </row>
    <row r="17" spans="2:3" ht="16.5" thickBot="1">
      <c r="B17" s="28" t="s">
        <v>23</v>
      </c>
      <c r="C17" s="29">
        <f>C16*C10/C6*1000*C14^2/2/9.81</f>
        <v>10.338781182986732</v>
      </c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4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31" customWidth="1"/>
    <col min="2" max="2" width="27.7109375" style="30" customWidth="1"/>
    <col min="3" max="3" width="6.8515625" style="30" customWidth="1"/>
    <col min="4" max="4" width="12.57421875" style="31" customWidth="1"/>
    <col min="5" max="5" width="8.00390625" style="32" customWidth="1"/>
    <col min="6" max="6" width="9.00390625" style="32" customWidth="1"/>
    <col min="7" max="7" width="3.7109375" style="32" customWidth="1"/>
    <col min="8" max="8" width="9.8515625" style="33" customWidth="1"/>
    <col min="9" max="9" width="8.28125" style="34" customWidth="1"/>
    <col min="10" max="10" width="4.421875" style="32" customWidth="1"/>
    <col min="11" max="11" width="5.7109375" style="31" customWidth="1"/>
    <col min="12" max="16384" width="10.7109375" style="31" customWidth="1"/>
  </cols>
  <sheetData>
    <row r="1" s="75" customFormat="1" ht="15.75"/>
    <row r="2" s="75" customFormat="1" ht="15.75"/>
    <row r="3" ht="13.5" thickBot="1"/>
    <row r="4" spans="2:10" ht="16.5" customHeight="1" thickBot="1">
      <c r="B4" s="35" t="s">
        <v>12</v>
      </c>
      <c r="C4" s="36"/>
      <c r="E4" s="94" t="s">
        <v>24</v>
      </c>
      <c r="F4" s="95" t="s">
        <v>25</v>
      </c>
      <c r="G4" s="96" t="s">
        <v>26</v>
      </c>
      <c r="H4" s="97" t="s">
        <v>27</v>
      </c>
      <c r="I4" s="98" t="s">
        <v>28</v>
      </c>
      <c r="J4" s="99" t="s">
        <v>29</v>
      </c>
    </row>
    <row r="5" spans="2:10" ht="12.75">
      <c r="B5" s="37" t="s">
        <v>14</v>
      </c>
      <c r="C5" s="38">
        <v>600</v>
      </c>
      <c r="E5" s="100">
        <v>40</v>
      </c>
      <c r="F5" s="100">
        <f aca="true" t="shared" si="0" ref="F5:F45">G5*C$8/E5*1000*I5^2/2/9.81</f>
        <v>56.80397518771942</v>
      </c>
      <c r="G5" s="100">
        <f aca="true" t="shared" si="1" ref="G5:G45">0.316/H5^0.25</f>
        <v>0.014065235168240198</v>
      </c>
      <c r="H5" s="101">
        <f aca="true" t="shared" si="2" ref="H5:H45">I5*C$6*E5/1000/C$7*1000</f>
        <v>254777.07006369423</v>
      </c>
      <c r="I5" s="102">
        <f aca="true" t="shared" si="3" ref="I5:I45">C$5/60000/J5</f>
        <v>7.9617834394904445</v>
      </c>
      <c r="J5" s="100">
        <f aca="true" t="shared" si="4" ref="J5:J45">3.14*(E5/1000)^2/4</f>
        <v>0.0012560000000000002</v>
      </c>
    </row>
    <row r="6" spans="2:10" ht="12.75">
      <c r="B6" s="37" t="s">
        <v>30</v>
      </c>
      <c r="C6" s="38">
        <v>800</v>
      </c>
      <c r="E6" s="100">
        <v>42</v>
      </c>
      <c r="F6" s="100">
        <f t="shared" si="0"/>
        <v>45.053606176908524</v>
      </c>
      <c r="G6" s="100">
        <f t="shared" si="1"/>
        <v>0.014237847031524411</v>
      </c>
      <c r="H6" s="101">
        <f t="shared" si="2"/>
        <v>242644.82863208972</v>
      </c>
      <c r="I6" s="102">
        <f t="shared" si="3"/>
        <v>7.2215722807169564</v>
      </c>
      <c r="J6" s="100">
        <f t="shared" si="4"/>
        <v>0.0013847400000000002</v>
      </c>
    </row>
    <row r="7" spans="2:10" ht="12.75">
      <c r="B7" s="37" t="s">
        <v>16</v>
      </c>
      <c r="C7" s="38">
        <v>1</v>
      </c>
      <c r="E7" s="100">
        <v>44</v>
      </c>
      <c r="F7" s="100">
        <f t="shared" si="0"/>
        <v>36.12130851975874</v>
      </c>
      <c r="G7" s="100">
        <f t="shared" si="1"/>
        <v>0.014404399875986743</v>
      </c>
      <c r="H7" s="101">
        <f t="shared" si="2"/>
        <v>231615.5182397221</v>
      </c>
      <c r="I7" s="102">
        <f t="shared" si="3"/>
        <v>6.579986313628468</v>
      </c>
      <c r="J7" s="100">
        <f t="shared" si="4"/>
        <v>0.00151976</v>
      </c>
    </row>
    <row r="8" spans="2:10" ht="13.5" thickBot="1">
      <c r="B8" s="39" t="s">
        <v>17</v>
      </c>
      <c r="C8" s="40">
        <v>50</v>
      </c>
      <c r="E8" s="100">
        <v>46</v>
      </c>
      <c r="F8" s="100">
        <f t="shared" si="0"/>
        <v>29.245832435693103</v>
      </c>
      <c r="G8" s="100">
        <f t="shared" si="1"/>
        <v>0.014565367874115347</v>
      </c>
      <c r="H8" s="101">
        <f t="shared" si="2"/>
        <v>221545.2783162559</v>
      </c>
      <c r="I8" s="102">
        <f t="shared" si="3"/>
        <v>6.020252128159127</v>
      </c>
      <c r="J8" s="100">
        <f t="shared" si="4"/>
        <v>0.00166106</v>
      </c>
    </row>
    <row r="9" spans="2:10" ht="12.75">
      <c r="B9" s="41"/>
      <c r="C9" s="41"/>
      <c r="D9" s="42"/>
      <c r="E9" s="100">
        <v>48</v>
      </c>
      <c r="F9" s="100">
        <f t="shared" si="0"/>
        <v>23.89284195305445</v>
      </c>
      <c r="G9" s="100">
        <f t="shared" si="1"/>
        <v>0.014721169370893825</v>
      </c>
      <c r="H9" s="101">
        <f t="shared" si="2"/>
        <v>212314.22505307855</v>
      </c>
      <c r="I9" s="102">
        <f t="shared" si="3"/>
        <v>5.529016277423921</v>
      </c>
      <c r="J9" s="100">
        <f t="shared" si="4"/>
        <v>0.00180864</v>
      </c>
    </row>
    <row r="10" spans="2:10" ht="12.75">
      <c r="B10" s="31"/>
      <c r="C10" s="31"/>
      <c r="E10" s="100">
        <v>50</v>
      </c>
      <c r="F10" s="100">
        <f t="shared" si="0"/>
        <v>19.681408127036732</v>
      </c>
      <c r="G10" s="100">
        <f t="shared" si="1"/>
        <v>0.01487217548043079</v>
      </c>
      <c r="H10" s="101">
        <f t="shared" si="2"/>
        <v>203821.6560509554</v>
      </c>
      <c r="I10" s="102">
        <f t="shared" si="3"/>
        <v>5.095541401273885</v>
      </c>
      <c r="J10" s="100">
        <f t="shared" si="4"/>
        <v>0.0019625000000000003</v>
      </c>
    </row>
    <row r="11" spans="2:10" ht="13.5" customHeight="1">
      <c r="B11" s="31"/>
      <c r="C11" s="31"/>
      <c r="E11" s="100">
        <v>52</v>
      </c>
      <c r="F11" s="100">
        <f t="shared" si="0"/>
        <v>16.33607827142978</v>
      </c>
      <c r="G11" s="100">
        <f t="shared" si="1"/>
        <v>0.015018717071707086</v>
      </c>
      <c r="H11" s="101">
        <f t="shared" si="2"/>
        <v>195982.36158745713</v>
      </c>
      <c r="I11" s="102">
        <f t="shared" si="3"/>
        <v>4.71111446123695</v>
      </c>
      <c r="J11" s="100">
        <f t="shared" si="4"/>
        <v>0.00212264</v>
      </c>
    </row>
    <row r="12" spans="2:10" ht="12.75">
      <c r="B12" s="31"/>
      <c r="C12" s="31"/>
      <c r="E12" s="100">
        <v>54</v>
      </c>
      <c r="F12" s="100">
        <f t="shared" si="0"/>
        <v>13.655051068603855</v>
      </c>
      <c r="G12" s="100">
        <f t="shared" si="1"/>
        <v>0.015161090495029452</v>
      </c>
      <c r="H12" s="101">
        <f t="shared" si="2"/>
        <v>188723.7556027365</v>
      </c>
      <c r="I12" s="102">
        <f t="shared" si="3"/>
        <v>4.3686054537670485</v>
      </c>
      <c r="J12" s="100">
        <f t="shared" si="4"/>
        <v>0.00228906</v>
      </c>
    </row>
    <row r="13" spans="2:10" ht="12.75">
      <c r="B13" s="31"/>
      <c r="C13" s="31"/>
      <c r="E13" s="100">
        <v>56</v>
      </c>
      <c r="F13" s="100">
        <f t="shared" si="0"/>
        <v>11.488691285015474</v>
      </c>
      <c r="G13" s="100">
        <f t="shared" si="1"/>
        <v>0.015299562313979201</v>
      </c>
      <c r="H13" s="101">
        <f t="shared" si="2"/>
        <v>181983.62147406733</v>
      </c>
      <c r="I13" s="102">
        <f t="shared" si="3"/>
        <v>4.062134407903288</v>
      </c>
      <c r="J13" s="100">
        <f t="shared" si="4"/>
        <v>0.0024617600000000003</v>
      </c>
    </row>
    <row r="14" spans="2:10" ht="12.75">
      <c r="B14" s="31"/>
      <c r="C14" s="31"/>
      <c r="E14" s="100">
        <v>58</v>
      </c>
      <c r="F14" s="100">
        <f t="shared" si="0"/>
        <v>9.724800896460064</v>
      </c>
      <c r="G14" s="100">
        <f t="shared" si="1"/>
        <v>0.015434373244582335</v>
      </c>
      <c r="H14" s="101">
        <f t="shared" si="2"/>
        <v>175708.3241818581</v>
      </c>
      <c r="I14" s="102">
        <f t="shared" si="3"/>
        <v>3.786817331505562</v>
      </c>
      <c r="J14" s="100">
        <f t="shared" si="4"/>
        <v>0.0026407400000000004</v>
      </c>
    </row>
    <row r="15" spans="2:10" ht="12.75">
      <c r="B15" s="31"/>
      <c r="C15" s="31"/>
      <c r="E15" s="100">
        <v>60</v>
      </c>
      <c r="F15" s="100">
        <f t="shared" si="0"/>
        <v>8.278377917017915</v>
      </c>
      <c r="G15" s="100">
        <f t="shared" si="1"/>
        <v>0.015565741457024536</v>
      </c>
      <c r="H15" s="101">
        <f t="shared" si="2"/>
        <v>169851.38004246287</v>
      </c>
      <c r="I15" s="102">
        <f t="shared" si="3"/>
        <v>3.5385704175513095</v>
      </c>
      <c r="J15" s="100">
        <f t="shared" si="4"/>
        <v>0.002826</v>
      </c>
    </row>
    <row r="16" spans="2:10" ht="12.75">
      <c r="B16" s="31"/>
      <c r="C16" s="31"/>
      <c r="E16" s="100">
        <v>62</v>
      </c>
      <c r="F16" s="100">
        <f t="shared" si="0"/>
        <v>7.084401441350933</v>
      </c>
      <c r="G16" s="100">
        <f t="shared" si="1"/>
        <v>0.01569386536068347</v>
      </c>
      <c r="H16" s="101">
        <f t="shared" si="2"/>
        <v>164372.30326689951</v>
      </c>
      <c r="I16" s="102">
        <f t="shared" si="3"/>
        <v>3.3139577271552323</v>
      </c>
      <c r="J16" s="100">
        <f t="shared" si="4"/>
        <v>0.00301754</v>
      </c>
    </row>
    <row r="17" spans="5:10" ht="12.75">
      <c r="E17" s="100">
        <v>64</v>
      </c>
      <c r="F17" s="100">
        <f t="shared" si="0"/>
        <v>6.092686211231585</v>
      </c>
      <c r="G17" s="100">
        <f t="shared" si="1"/>
        <v>0.01581892596724419</v>
      </c>
      <c r="H17" s="101">
        <f t="shared" si="2"/>
        <v>159235.66878980893</v>
      </c>
      <c r="I17" s="102">
        <f t="shared" si="3"/>
        <v>3.1100716560509554</v>
      </c>
      <c r="J17" s="100">
        <f t="shared" si="4"/>
        <v>0.00321536</v>
      </c>
    </row>
    <row r="18" spans="5:10" ht="12.75">
      <c r="E18" s="100">
        <v>66</v>
      </c>
      <c r="F18" s="100">
        <f t="shared" si="0"/>
        <v>5.264171068936188</v>
      </c>
      <c r="G18" s="100">
        <f t="shared" si="1"/>
        <v>0.015941088906888085</v>
      </c>
      <c r="H18" s="101">
        <f t="shared" si="2"/>
        <v>154410.34549314802</v>
      </c>
      <c r="I18" s="102">
        <f t="shared" si="3"/>
        <v>2.924438361612652</v>
      </c>
      <c r="J18" s="100">
        <f t="shared" si="4"/>
        <v>0.0034194600000000005</v>
      </c>
    </row>
    <row r="19" spans="5:10" ht="12.75">
      <c r="E19" s="100">
        <v>68</v>
      </c>
      <c r="F19" s="100">
        <f t="shared" si="0"/>
        <v>4.568213075119842</v>
      </c>
      <c r="G19" s="100">
        <f t="shared" si="1"/>
        <v>0.016060506157366924</v>
      </c>
      <c r="H19" s="101">
        <f t="shared" si="2"/>
        <v>149868.86474334958</v>
      </c>
      <c r="I19" s="102">
        <f t="shared" si="3"/>
        <v>2.7549423666056905</v>
      </c>
      <c r="J19" s="100">
        <f t="shared" si="4"/>
        <v>0.0036298400000000005</v>
      </c>
    </row>
    <row r="20" spans="5:10" ht="12.75">
      <c r="E20" s="100">
        <v>70</v>
      </c>
      <c r="F20" s="100">
        <f t="shared" si="0"/>
        <v>3.980595042489274</v>
      </c>
      <c r="G20" s="100">
        <f t="shared" si="1"/>
        <v>0.016177317534019832</v>
      </c>
      <c r="H20" s="101">
        <f t="shared" si="2"/>
        <v>145586.89717925387</v>
      </c>
      <c r="I20" s="102">
        <f t="shared" si="3"/>
        <v>2.5997660210581044</v>
      </c>
      <c r="J20" s="100">
        <f t="shared" si="4"/>
        <v>0.0038465000000000005</v>
      </c>
    </row>
    <row r="21" spans="5:10" ht="12.75">
      <c r="E21" s="100">
        <v>72</v>
      </c>
      <c r="F21" s="100">
        <f t="shared" si="0"/>
        <v>3.4820446024299834</v>
      </c>
      <c r="G21" s="100">
        <f t="shared" si="1"/>
        <v>0.016291651979614352</v>
      </c>
      <c r="H21" s="101">
        <f t="shared" si="2"/>
        <v>141542.81670205237</v>
      </c>
      <c r="I21" s="102">
        <f t="shared" si="3"/>
        <v>2.457340567743965</v>
      </c>
      <c r="J21" s="100">
        <f t="shared" si="4"/>
        <v>0.00406944</v>
      </c>
    </row>
    <row r="22" spans="5:10" ht="12.75">
      <c r="E22" s="100">
        <v>74</v>
      </c>
      <c r="F22" s="100">
        <f t="shared" si="0"/>
        <v>3.0571237510575737</v>
      </c>
      <c r="G22" s="100">
        <f t="shared" si="1"/>
        <v>0.016403628685672904</v>
      </c>
      <c r="H22" s="101">
        <f t="shared" si="2"/>
        <v>137717.3351695645</v>
      </c>
      <c r="I22" s="102">
        <f t="shared" si="3"/>
        <v>2.3263063373237247</v>
      </c>
      <c r="J22" s="100">
        <f t="shared" si="4"/>
        <v>0.004298659999999999</v>
      </c>
    </row>
    <row r="23" spans="5:10" ht="12.75">
      <c r="E23" s="100">
        <v>76</v>
      </c>
      <c r="F23" s="100">
        <f t="shared" si="0"/>
        <v>2.6933892631185095</v>
      </c>
      <c r="G23" s="100">
        <f t="shared" si="1"/>
        <v>0.016513358071224036</v>
      </c>
      <c r="H23" s="101">
        <f t="shared" si="2"/>
        <v>134093.19477036543</v>
      </c>
      <c r="I23" s="102">
        <f t="shared" si="3"/>
        <v>2.205480177144168</v>
      </c>
      <c r="J23" s="100">
        <f t="shared" si="4"/>
        <v>0.00453416</v>
      </c>
    </row>
    <row r="24" spans="5:10" ht="12.75">
      <c r="E24" s="100">
        <v>78</v>
      </c>
      <c r="F24" s="100">
        <f t="shared" si="0"/>
        <v>2.380752916780328</v>
      </c>
      <c r="G24" s="100">
        <f t="shared" si="1"/>
        <v>0.016620942640352788</v>
      </c>
      <c r="H24" s="101">
        <f t="shared" si="2"/>
        <v>130654.90772497139</v>
      </c>
      <c r="I24" s="102">
        <f t="shared" si="3"/>
        <v>2.0938286494386444</v>
      </c>
      <c r="J24" s="100">
        <f t="shared" si="4"/>
        <v>0.00477594</v>
      </c>
    </row>
    <row r="25" spans="5:10" ht="12.75">
      <c r="E25" s="100">
        <v>80</v>
      </c>
      <c r="F25" s="100">
        <f t="shared" si="0"/>
        <v>2.1109903579273106</v>
      </c>
      <c r="G25" s="100">
        <f t="shared" si="1"/>
        <v>0.016726477736257735</v>
      </c>
      <c r="H25" s="101">
        <f t="shared" si="2"/>
        <v>127388.53503184712</v>
      </c>
      <c r="I25" s="102">
        <f t="shared" si="3"/>
        <v>1.9904458598726111</v>
      </c>
      <c r="J25" s="100">
        <f t="shared" si="4"/>
        <v>0.005024000000000001</v>
      </c>
    </row>
    <row r="26" spans="5:10" ht="12.75">
      <c r="E26" s="100">
        <v>82</v>
      </c>
      <c r="F26" s="100">
        <f t="shared" si="0"/>
        <v>1.8773614209392129</v>
      </c>
      <c r="G26" s="100">
        <f t="shared" si="1"/>
        <v>0.01683005220656091</v>
      </c>
      <c r="H26" s="101">
        <f t="shared" si="2"/>
        <v>124281.49759204595</v>
      </c>
      <c r="I26" s="102">
        <f t="shared" si="3"/>
        <v>1.8945350242689933</v>
      </c>
      <c r="J26" s="100">
        <f t="shared" si="4"/>
        <v>0.005278340000000001</v>
      </c>
    </row>
    <row r="27" spans="5:10" ht="12.75">
      <c r="E27" s="100">
        <v>84</v>
      </c>
      <c r="F27" s="100">
        <f t="shared" si="0"/>
        <v>1.674314656940942</v>
      </c>
      <c r="G27" s="100">
        <f t="shared" si="1"/>
        <v>0.0169317489922092</v>
      </c>
      <c r="H27" s="101">
        <f t="shared" si="2"/>
        <v>121322.41431604486</v>
      </c>
      <c r="I27" s="102">
        <f t="shared" si="3"/>
        <v>1.8053930701792391</v>
      </c>
      <c r="J27" s="100">
        <f t="shared" si="4"/>
        <v>0.005538960000000001</v>
      </c>
    </row>
    <row r="28" spans="5:10" ht="12.75">
      <c r="E28" s="100">
        <v>86</v>
      </c>
      <c r="F28" s="100">
        <f t="shared" si="0"/>
        <v>1.497255939081648</v>
      </c>
      <c r="G28" s="100">
        <f t="shared" si="1"/>
        <v>0.017031645650339874</v>
      </c>
      <c r="H28" s="101">
        <f t="shared" si="2"/>
        <v>118500.96282032292</v>
      </c>
      <c r="I28" s="102">
        <f t="shared" si="3"/>
        <v>1.7223977154116705</v>
      </c>
      <c r="J28" s="100">
        <f t="shared" si="4"/>
        <v>0.0058058599999999995</v>
      </c>
    </row>
    <row r="29" spans="5:10" ht="12.75">
      <c r="E29" s="100">
        <v>88</v>
      </c>
      <c r="F29" s="100">
        <f t="shared" si="0"/>
        <v>1.3423661592157965</v>
      </c>
      <c r="G29" s="100">
        <f t="shared" si="1"/>
        <v>0.017129814819867743</v>
      </c>
      <c r="H29" s="101">
        <f t="shared" si="2"/>
        <v>115807.75911986105</v>
      </c>
      <c r="I29" s="102">
        <f t="shared" si="3"/>
        <v>1.644996578407117</v>
      </c>
      <c r="J29" s="100">
        <f t="shared" si="4"/>
        <v>0.00607904</v>
      </c>
    </row>
    <row r="30" spans="5:10" ht="12.75">
      <c r="E30" s="100">
        <v>90</v>
      </c>
      <c r="F30" s="100">
        <f t="shared" si="0"/>
        <v>1.2064567789577127</v>
      </c>
      <c r="G30" s="100">
        <f t="shared" si="1"/>
        <v>0.01722632463721879</v>
      </c>
      <c r="H30" s="101">
        <f t="shared" si="2"/>
        <v>113234.25336164191</v>
      </c>
      <c r="I30" s="102">
        <f t="shared" si="3"/>
        <v>1.5726979633561375</v>
      </c>
      <c r="J30" s="100">
        <f t="shared" si="4"/>
        <v>0.0063585</v>
      </c>
    </row>
    <row r="31" spans="5:10" ht="12.75">
      <c r="E31" s="100">
        <v>92</v>
      </c>
      <c r="F31" s="100">
        <f t="shared" si="0"/>
        <v>1.0868547505219877</v>
      </c>
      <c r="G31" s="100">
        <f t="shared" si="1"/>
        <v>0.01732123910853003</v>
      </c>
      <c r="H31" s="101">
        <f t="shared" si="2"/>
        <v>110772.63915812795</v>
      </c>
      <c r="I31" s="102">
        <f t="shared" si="3"/>
        <v>1.5050630320397818</v>
      </c>
      <c r="J31" s="100">
        <f t="shared" si="4"/>
        <v>0.00664424</v>
      </c>
    </row>
    <row r="32" spans="5:10" ht="12.75">
      <c r="E32" s="100">
        <v>94</v>
      </c>
      <c r="F32" s="100">
        <f t="shared" si="0"/>
        <v>0.9813103586632378</v>
      </c>
      <c r="G32" s="100">
        <f t="shared" si="1"/>
        <v>0.01741461844371533</v>
      </c>
      <c r="H32" s="101">
        <f t="shared" si="2"/>
        <v>108415.77449518905</v>
      </c>
      <c r="I32" s="102">
        <f t="shared" si="3"/>
        <v>1.4416991289253862</v>
      </c>
      <c r="J32" s="100">
        <f t="shared" si="4"/>
        <v>0.0069362600000000005</v>
      </c>
    </row>
    <row r="33" spans="5:10" ht="12.75">
      <c r="E33" s="100">
        <v>96</v>
      </c>
      <c r="F33" s="100">
        <f t="shared" si="0"/>
        <v>0.8879230515064954</v>
      </c>
      <c r="G33" s="100">
        <f t="shared" si="1"/>
        <v>0.017506519357027062</v>
      </c>
      <c r="H33" s="101">
        <f t="shared" si="2"/>
        <v>106157.11252653928</v>
      </c>
      <c r="I33" s="102">
        <f t="shared" si="3"/>
        <v>1.3822540693559802</v>
      </c>
      <c r="J33" s="100">
        <f t="shared" si="4"/>
        <v>0.00723456</v>
      </c>
    </row>
    <row r="34" spans="5:10" ht="12.75">
      <c r="E34" s="100">
        <v>98</v>
      </c>
      <c r="F34" s="100">
        <f t="shared" si="0"/>
        <v>0.8050814652089554</v>
      </c>
      <c r="G34" s="100">
        <f t="shared" si="1"/>
        <v>0.017596995338097284</v>
      </c>
      <c r="H34" s="101">
        <f t="shared" si="2"/>
        <v>103990.64084232417</v>
      </c>
      <c r="I34" s="102">
        <f t="shared" si="3"/>
        <v>1.3264112352337267</v>
      </c>
      <c r="J34" s="100">
        <f t="shared" si="4"/>
        <v>0.0075391400000000015</v>
      </c>
    </row>
    <row r="35" spans="5:10" ht="12.75">
      <c r="E35" s="100">
        <v>100</v>
      </c>
      <c r="F35" s="100">
        <f t="shared" si="0"/>
        <v>0.7314147055607645</v>
      </c>
      <c r="G35" s="100">
        <f t="shared" si="1"/>
        <v>0.01768609689689731</v>
      </c>
      <c r="H35" s="101">
        <f t="shared" si="2"/>
        <v>101910.8280254777</v>
      </c>
      <c r="I35" s="102">
        <f t="shared" si="3"/>
        <v>1.2738853503184713</v>
      </c>
      <c r="J35" s="100">
        <f t="shared" si="4"/>
        <v>0.007850000000000001</v>
      </c>
    </row>
    <row r="36" spans="5:10" ht="12.75">
      <c r="E36" s="100">
        <v>102</v>
      </c>
      <c r="F36" s="100">
        <f t="shared" si="0"/>
        <v>0.665752601227817</v>
      </c>
      <c r="G36" s="100">
        <f t="shared" si="1"/>
        <v>0.01777387178559366</v>
      </c>
      <c r="H36" s="101">
        <f t="shared" si="2"/>
        <v>99912.57649556638</v>
      </c>
      <c r="I36" s="102">
        <f t="shared" si="3"/>
        <v>1.2244188296025291</v>
      </c>
      <c r="J36" s="100">
        <f t="shared" si="4"/>
        <v>0.00816714</v>
      </c>
    </row>
    <row r="37" spans="5:10" ht="12.75">
      <c r="E37" s="100">
        <v>104</v>
      </c>
      <c r="F37" s="100">
        <f t="shared" si="0"/>
        <v>0.6070931409883012</v>
      </c>
      <c r="G37" s="100">
        <f t="shared" si="1"/>
        <v>0.01786036519988689</v>
      </c>
      <c r="H37" s="101">
        <f t="shared" si="2"/>
        <v>97991.18079372856</v>
      </c>
      <c r="I37" s="102">
        <f t="shared" si="3"/>
        <v>1.1777786153092376</v>
      </c>
      <c r="J37" s="100">
        <f t="shared" si="4"/>
        <v>0.00849056</v>
      </c>
    </row>
    <row r="38" spans="5:10" ht="12.75">
      <c r="E38" s="100">
        <v>106</v>
      </c>
      <c r="F38" s="100">
        <f t="shared" si="0"/>
        <v>0.5545756895236156</v>
      </c>
      <c r="G38" s="100">
        <f t="shared" si="1"/>
        <v>0.017945619962086382</v>
      </c>
      <c r="H38" s="101">
        <f t="shared" si="2"/>
        <v>96142.29059007332</v>
      </c>
      <c r="I38" s="102">
        <f t="shared" si="3"/>
        <v>1.1337534267697325</v>
      </c>
      <c r="J38" s="100">
        <f t="shared" si="4"/>
        <v>0.00882026</v>
      </c>
    </row>
    <row r="39" spans="5:10" ht="12.75">
      <c r="E39" s="100">
        <v>108</v>
      </c>
      <c r="F39" s="100">
        <f t="shared" si="0"/>
        <v>0.5074588714534131</v>
      </c>
      <c r="G39" s="100">
        <f t="shared" si="1"/>
        <v>0.018029676687889153</v>
      </c>
      <c r="H39" s="101">
        <f t="shared" si="2"/>
        <v>94361.87780136825</v>
      </c>
      <c r="I39" s="102">
        <f t="shared" si="3"/>
        <v>1.0921513634417621</v>
      </c>
      <c r="J39" s="100">
        <f t="shared" si="4"/>
        <v>0.00915624</v>
      </c>
    </row>
    <row r="40" spans="5:10" ht="12.75">
      <c r="E40" s="100">
        <v>110</v>
      </c>
      <c r="F40" s="100">
        <f t="shared" si="0"/>
        <v>0.46510224237194925</v>
      </c>
      <c r="G40" s="100">
        <f t="shared" si="1"/>
        <v>0.018112573938586462</v>
      </c>
      <c r="H40" s="101">
        <f t="shared" si="2"/>
        <v>92646.20729588883</v>
      </c>
      <c r="I40" s="102">
        <f t="shared" si="3"/>
        <v>1.0527978101805548</v>
      </c>
      <c r="J40" s="100">
        <f t="shared" si="4"/>
        <v>0.0094985</v>
      </c>
    </row>
    <row r="41" spans="5:10" ht="12.75">
      <c r="E41" s="100">
        <v>112</v>
      </c>
      <c r="F41" s="100">
        <f t="shared" si="0"/>
        <v>0.42695104431906733</v>
      </c>
      <c r="G41" s="100">
        <f t="shared" si="1"/>
        <v>0.01819434836021156</v>
      </c>
      <c r="H41" s="101">
        <f t="shared" si="2"/>
        <v>90991.81073703367</v>
      </c>
      <c r="I41" s="102">
        <f t="shared" si="3"/>
        <v>1.015533601975822</v>
      </c>
      <c r="J41" s="100">
        <f t="shared" si="4"/>
        <v>0.009847040000000001</v>
      </c>
    </row>
    <row r="42" spans="5:10" ht="12.75">
      <c r="E42" s="100">
        <v>114</v>
      </c>
      <c r="F42" s="100">
        <f t="shared" si="0"/>
        <v>0.39252348315499297</v>
      </c>
      <c r="G42" s="100">
        <f t="shared" si="1"/>
        <v>0.018275034810961023</v>
      </c>
      <c r="H42" s="101">
        <f t="shared" si="2"/>
        <v>89395.46318024362</v>
      </c>
      <c r="I42" s="102">
        <f t="shared" si="3"/>
        <v>0.9802134120640746</v>
      </c>
      <c r="J42" s="100">
        <f t="shared" si="4"/>
        <v>0.01020186</v>
      </c>
    </row>
    <row r="43" spans="5:10" ht="12.75">
      <c r="E43" s="100">
        <v>116</v>
      </c>
      <c r="F43" s="100">
        <f t="shared" si="0"/>
        <v>0.36140007556422343</v>
      </c>
      <c r="G43" s="100">
        <f t="shared" si="1"/>
        <v>0.018354666478064947</v>
      </c>
      <c r="H43" s="101">
        <f t="shared" si="2"/>
        <v>87854.16209092905</v>
      </c>
      <c r="I43" s="102">
        <f t="shared" si="3"/>
        <v>0.9467043328763906</v>
      </c>
      <c r="J43" s="100">
        <f t="shared" si="4"/>
        <v>0.010562960000000001</v>
      </c>
    </row>
    <row r="44" spans="5:10" ht="12.75">
      <c r="E44" s="100">
        <v>118</v>
      </c>
      <c r="F44" s="100">
        <f t="shared" si="0"/>
        <v>0.3332147006072312</v>
      </c>
      <c r="G44" s="100">
        <f t="shared" si="1"/>
        <v>0.018433274985145704</v>
      </c>
      <c r="H44" s="101">
        <f t="shared" si="2"/>
        <v>86365.10849616755</v>
      </c>
      <c r="I44" s="102">
        <f t="shared" si="3"/>
        <v>0.91488462390008</v>
      </c>
      <c r="J44" s="100">
        <f t="shared" si="4"/>
        <v>0.01093034</v>
      </c>
    </row>
    <row r="45" spans="5:10" ht="12.75">
      <c r="E45" s="100">
        <v>120</v>
      </c>
      <c r="F45" s="100">
        <f t="shared" si="0"/>
        <v>0.30764705998747227</v>
      </c>
      <c r="G45" s="100">
        <f t="shared" si="1"/>
        <v>0.018510890490986403</v>
      </c>
      <c r="H45" s="101">
        <f t="shared" si="2"/>
        <v>84925.69002123144</v>
      </c>
      <c r="I45" s="102">
        <f t="shared" si="3"/>
        <v>0.8846426043878274</v>
      </c>
      <c r="J45" s="100">
        <f t="shared" si="4"/>
        <v>0.011304</v>
      </c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55" customWidth="1"/>
    <col min="2" max="2" width="34.421875" style="54" customWidth="1"/>
    <col min="3" max="3" width="6.8515625" style="54" customWidth="1"/>
    <col min="4" max="4" width="7.421875" style="55" customWidth="1"/>
    <col min="5" max="5" width="22.140625" style="55" customWidth="1"/>
    <col min="6" max="16384" width="10.7109375" style="55" customWidth="1"/>
  </cols>
  <sheetData>
    <row r="1" s="75" customFormat="1" ht="15.75"/>
    <row r="2" s="75" customFormat="1" ht="15.75"/>
    <row r="3" ht="16.5" thickBot="1"/>
    <row r="4" spans="2:5" ht="16.5" customHeight="1" thickBot="1">
      <c r="B4" s="35" t="s">
        <v>12</v>
      </c>
      <c r="C4" s="35"/>
      <c r="E4" s="56"/>
    </row>
    <row r="5" spans="2:5" ht="15.75">
      <c r="B5" s="37" t="s">
        <v>13</v>
      </c>
      <c r="C5" s="37">
        <v>40</v>
      </c>
      <c r="E5" s="56"/>
    </row>
    <row r="6" spans="2:5" ht="15.75">
      <c r="B6" s="37" t="s">
        <v>14</v>
      </c>
      <c r="C6" s="37">
        <v>200</v>
      </c>
      <c r="E6" s="56"/>
    </row>
    <row r="7" spans="2:5" ht="15.75">
      <c r="B7" s="37" t="s">
        <v>31</v>
      </c>
      <c r="C7" s="37">
        <v>1000</v>
      </c>
      <c r="E7" s="56"/>
    </row>
    <row r="8" spans="2:5" ht="15.75">
      <c r="B8" s="37" t="s">
        <v>16</v>
      </c>
      <c r="C8" s="37">
        <v>3</v>
      </c>
      <c r="E8" s="56"/>
    </row>
    <row r="9" spans="2:5" ht="15.75">
      <c r="B9" s="37" t="s">
        <v>17</v>
      </c>
      <c r="C9" s="37">
        <v>50</v>
      </c>
      <c r="E9" s="56"/>
    </row>
    <row r="10" spans="2:5" ht="16.5" thickBot="1">
      <c r="B10" s="57"/>
      <c r="C10" s="57"/>
      <c r="E10" s="58"/>
    </row>
    <row r="11" spans="2:5" ht="16.5" customHeight="1" thickBot="1">
      <c r="B11" s="35" t="s">
        <v>18</v>
      </c>
      <c r="C11" s="35"/>
      <c r="E11" s="56"/>
    </row>
    <row r="12" spans="2:5" ht="15.75">
      <c r="B12" s="37" t="s">
        <v>32</v>
      </c>
      <c r="C12" s="37">
        <f>3.14*(C5/1000)^2/4</f>
        <v>0.0012560000000000002</v>
      </c>
      <c r="E12" s="56"/>
    </row>
    <row r="13" spans="2:5" ht="15.75">
      <c r="B13" s="37" t="s">
        <v>20</v>
      </c>
      <c r="C13" s="37">
        <f>C6/60000/C12</f>
        <v>2.653927813163482</v>
      </c>
      <c r="E13" s="56"/>
    </row>
    <row r="14" spans="2:5" ht="15.75">
      <c r="B14" s="37" t="s">
        <v>21</v>
      </c>
      <c r="C14" s="37">
        <f>+C13*C7*C5/1000/C8*1000</f>
        <v>35385.70417551309</v>
      </c>
      <c r="E14" s="56"/>
    </row>
    <row r="15" spans="2:5" ht="15.75">
      <c r="B15" s="37" t="s">
        <v>22</v>
      </c>
      <c r="C15" s="37">
        <f>0.316/C14^0.25</f>
        <v>0.0230398751830331</v>
      </c>
      <c r="E15" s="58"/>
    </row>
    <row r="16" spans="2:5" ht="15.75">
      <c r="B16" s="37" t="s">
        <v>23</v>
      </c>
      <c r="C16" s="37">
        <f>C15*(C9+D35)/C5*1000*C13^2/2/9.81</f>
        <v>10.338781182986732</v>
      </c>
      <c r="E16" s="56"/>
    </row>
    <row r="17" ht="15.75">
      <c r="E17" s="58"/>
    </row>
    <row r="18" ht="16.5" thickBot="1">
      <c r="E18" s="58"/>
    </row>
    <row r="19" spans="2:4" ht="18.75" customHeight="1" thickBot="1">
      <c r="B19" s="35" t="s">
        <v>33</v>
      </c>
      <c r="C19" s="35"/>
      <c r="D19" s="35"/>
    </row>
    <row r="20" spans="2:4" ht="18.75" customHeight="1" thickBot="1">
      <c r="B20" s="35" t="s">
        <v>34</v>
      </c>
      <c r="C20" s="35"/>
      <c r="D20" s="35" t="s">
        <v>35</v>
      </c>
    </row>
    <row r="21" spans="2:4" ht="15.75">
      <c r="B21" s="37" t="s">
        <v>36</v>
      </c>
      <c r="C21" s="37"/>
      <c r="D21" s="37">
        <f>900*C21*C5/1000</f>
        <v>0</v>
      </c>
    </row>
    <row r="22" spans="2:4" ht="15.75">
      <c r="B22" s="37" t="s">
        <v>37</v>
      </c>
      <c r="C22" s="37"/>
      <c r="D22" s="37">
        <f>420*C22*C5/1000</f>
        <v>0</v>
      </c>
    </row>
    <row r="23" spans="2:4" ht="15.75">
      <c r="B23" s="37" t="s">
        <v>38</v>
      </c>
      <c r="C23" s="37"/>
      <c r="D23" s="37">
        <f>400*C23*C5/1000</f>
        <v>0</v>
      </c>
    </row>
    <row r="24" spans="2:4" ht="15.75">
      <c r="B24" s="37" t="s">
        <v>39</v>
      </c>
      <c r="C24" s="76"/>
      <c r="D24" s="37">
        <f>200*C24*C5/1000</f>
        <v>0</v>
      </c>
    </row>
    <row r="25" spans="2:4" ht="15.75">
      <c r="B25" s="37" t="s">
        <v>40</v>
      </c>
      <c r="C25" s="37"/>
      <c r="D25" s="37">
        <f>160*C25*C5/1000</f>
        <v>0</v>
      </c>
    </row>
    <row r="26" spans="2:4" ht="15.75">
      <c r="B26" s="37" t="s">
        <v>41</v>
      </c>
      <c r="C26" s="37"/>
      <c r="D26" s="37">
        <f>150*C26*C5/1000</f>
        <v>0</v>
      </c>
    </row>
    <row r="27" spans="2:4" ht="15.75">
      <c r="B27" s="37" t="s">
        <v>42</v>
      </c>
      <c r="C27" s="37"/>
      <c r="D27" s="37">
        <f>100*C27*C5/1000</f>
        <v>0</v>
      </c>
    </row>
    <row r="28" spans="2:4" ht="15.75">
      <c r="B28" s="37" t="s">
        <v>43</v>
      </c>
      <c r="C28" s="37"/>
      <c r="D28" s="37">
        <f>50*C28*C5/1000</f>
        <v>0</v>
      </c>
    </row>
    <row r="29" spans="2:4" ht="15.75">
      <c r="B29" s="37" t="s">
        <v>44</v>
      </c>
      <c r="C29" s="37"/>
      <c r="D29" s="37">
        <f>35*C29*C5/1000</f>
        <v>0</v>
      </c>
    </row>
    <row r="30" spans="2:4" ht="15.75">
      <c r="B30" s="37" t="s">
        <v>45</v>
      </c>
      <c r="C30" s="37"/>
      <c r="D30" s="37">
        <f>20*C30*C5/1000</f>
        <v>0</v>
      </c>
    </row>
    <row r="31" spans="2:4" ht="15.75">
      <c r="B31" s="37" t="s">
        <v>46</v>
      </c>
      <c r="C31" s="37"/>
      <c r="D31" s="37">
        <f>30*C31*C5/1000</f>
        <v>0</v>
      </c>
    </row>
    <row r="32" spans="2:4" ht="15.75">
      <c r="B32" s="37" t="s">
        <v>47</v>
      </c>
      <c r="C32" s="37"/>
      <c r="D32" s="37">
        <f>20*C32*C5/1000</f>
        <v>0</v>
      </c>
    </row>
    <row r="33" spans="2:4" ht="15.75">
      <c r="B33" s="37" t="s">
        <v>48</v>
      </c>
      <c r="C33" s="37"/>
      <c r="D33" s="37">
        <f>20*C33*C5/1000</f>
        <v>0</v>
      </c>
    </row>
    <row r="34" spans="2:4" ht="16.5" thickBot="1">
      <c r="B34" s="37" t="s">
        <v>49</v>
      </c>
      <c r="C34" s="37"/>
      <c r="D34" s="37">
        <f>20*C34*C5/1000</f>
        <v>0</v>
      </c>
    </row>
    <row r="35" spans="2:4" ht="19.5" customHeight="1" thickBot="1">
      <c r="B35" s="35" t="s">
        <v>50</v>
      </c>
      <c r="C35" s="35"/>
      <c r="D35" s="35">
        <f>SUM(D21:D34)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5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43" customWidth="1"/>
    <col min="2" max="2" width="29.57421875" style="43" customWidth="1"/>
    <col min="3" max="4" width="7.00390625" style="43" customWidth="1"/>
    <col min="5" max="5" width="10.7109375" style="44" customWidth="1"/>
    <col min="6" max="6" width="7.8515625" style="44" customWidth="1"/>
    <col min="7" max="7" width="7.00390625" style="44" customWidth="1"/>
    <col min="8" max="8" width="6.57421875" style="44" customWidth="1"/>
    <col min="9" max="9" width="6.7109375" style="44" customWidth="1"/>
    <col min="10" max="10" width="9.28125" style="44" customWidth="1"/>
    <col min="11" max="12" width="5.8515625" style="43" customWidth="1"/>
    <col min="13" max="16384" width="11.421875" style="43" customWidth="1"/>
  </cols>
  <sheetData>
    <row r="1" s="75" customFormat="1" ht="15.75"/>
    <row r="2" s="75" customFormat="1" ht="15.75"/>
    <row r="3" ht="16.5" thickBot="1"/>
    <row r="4" spans="2:3" ht="16.5" thickBot="1">
      <c r="B4" s="35" t="s">
        <v>12</v>
      </c>
      <c r="C4" s="45"/>
    </row>
    <row r="5" spans="2:10" ht="15.75">
      <c r="B5" s="46" t="s">
        <v>13</v>
      </c>
      <c r="C5" s="47">
        <v>60</v>
      </c>
      <c r="E5" s="107" t="s">
        <v>51</v>
      </c>
      <c r="F5" s="108" t="s">
        <v>52</v>
      </c>
      <c r="G5" s="108" t="s">
        <v>53</v>
      </c>
      <c r="H5" s="109" t="s">
        <v>26</v>
      </c>
      <c r="I5" s="109" t="s">
        <v>27</v>
      </c>
      <c r="J5" s="110" t="s">
        <v>54</v>
      </c>
    </row>
    <row r="6" spans="2:10" ht="15.75">
      <c r="B6" s="48" t="s">
        <v>55</v>
      </c>
      <c r="C6" s="49">
        <v>1000</v>
      </c>
      <c r="E6" s="103">
        <v>50</v>
      </c>
      <c r="F6" s="103">
        <f aca="true" t="shared" si="0" ref="F6:F37">H6*C$19/C$5*1000*J6^2/2/9.81</f>
        <v>0.2039746685330363</v>
      </c>
      <c r="G6" s="103">
        <f aca="true" t="shared" si="1" ref="G6:G37">(C$9-C$10)/C$6*10000</f>
        <v>3.999999999999999</v>
      </c>
      <c r="H6" s="103">
        <f aca="true" t="shared" si="2" ref="H6:H37">0.316/I6^0.25</f>
        <v>0.03605935337577831</v>
      </c>
      <c r="I6" s="103">
        <f aca="true" t="shared" si="3" ref="I6:I37">C$6*J6*C$5/1000/C$7*1000</f>
        <v>5897.6173625855145</v>
      </c>
      <c r="J6" s="103">
        <f aca="true" t="shared" si="4" ref="J6:J37">E6/60000/C$15</f>
        <v>0.2948808681292758</v>
      </c>
    </row>
    <row r="7" spans="2:10" ht="15.75">
      <c r="B7" s="48" t="s">
        <v>16</v>
      </c>
      <c r="C7" s="49">
        <v>3</v>
      </c>
      <c r="E7" s="103">
        <v>55</v>
      </c>
      <c r="F7" s="103">
        <f t="shared" si="0"/>
        <v>0.2409979981281385</v>
      </c>
      <c r="G7" s="103">
        <f t="shared" si="1"/>
        <v>3.999999999999999</v>
      </c>
      <c r="H7" s="103">
        <f t="shared" si="2"/>
        <v>0.03521030307486202</v>
      </c>
      <c r="I7" s="103">
        <f t="shared" si="3"/>
        <v>6487.379098844067</v>
      </c>
      <c r="J7" s="103">
        <f t="shared" si="4"/>
        <v>0.32436895494220336</v>
      </c>
    </row>
    <row r="8" spans="2:10" ht="15.75">
      <c r="B8" s="48" t="s">
        <v>17</v>
      </c>
      <c r="C8" s="49">
        <v>50</v>
      </c>
      <c r="E8" s="103">
        <v>60</v>
      </c>
      <c r="F8" s="103">
        <f t="shared" si="0"/>
        <v>0.2806360226527168</v>
      </c>
      <c r="G8" s="103">
        <f t="shared" si="1"/>
        <v>3.999999999999999</v>
      </c>
      <c r="H8" s="103">
        <f t="shared" si="2"/>
        <v>0.034452649274437586</v>
      </c>
      <c r="I8" s="103">
        <f t="shared" si="3"/>
        <v>7077.140835102618</v>
      </c>
      <c r="J8" s="103">
        <f t="shared" si="4"/>
        <v>0.35385704175513094</v>
      </c>
    </row>
    <row r="9" spans="2:10" ht="15.75">
      <c r="B9" s="48" t="s">
        <v>56</v>
      </c>
      <c r="C9" s="49">
        <v>1.2</v>
      </c>
      <c r="E9" s="103">
        <v>65</v>
      </c>
      <c r="F9" s="103">
        <f t="shared" si="0"/>
        <v>0.3228323909569319</v>
      </c>
      <c r="G9" s="103">
        <f t="shared" si="1"/>
        <v>3.999999999999999</v>
      </c>
      <c r="H9" s="103">
        <f t="shared" si="2"/>
        <v>0.03377008054838798</v>
      </c>
      <c r="I9" s="103">
        <f t="shared" si="3"/>
        <v>7666.902571361169</v>
      </c>
      <c r="J9" s="103">
        <f t="shared" si="4"/>
        <v>0.38334512856805847</v>
      </c>
    </row>
    <row r="10" spans="2:10" ht="15.75">
      <c r="B10" s="48" t="s">
        <v>57</v>
      </c>
      <c r="C10" s="49">
        <v>0.8</v>
      </c>
      <c r="E10" s="103">
        <v>70</v>
      </c>
      <c r="F10" s="103">
        <f t="shared" si="0"/>
        <v>0.3675363503812718</v>
      </c>
      <c r="G10" s="103">
        <f t="shared" si="1"/>
        <v>3.999999999999999</v>
      </c>
      <c r="H10" s="103">
        <f t="shared" si="2"/>
        <v>0.033150182654675356</v>
      </c>
      <c r="I10" s="103">
        <f t="shared" si="3"/>
        <v>8256.664307619722</v>
      </c>
      <c r="J10" s="103">
        <f t="shared" si="4"/>
        <v>0.4128332153809861</v>
      </c>
    </row>
    <row r="11" spans="2:10" ht="15.75">
      <c r="B11" s="48" t="s">
        <v>58</v>
      </c>
      <c r="C11" s="49">
        <v>1</v>
      </c>
      <c r="E11" s="103">
        <v>75</v>
      </c>
      <c r="F11" s="103">
        <f t="shared" si="0"/>
        <v>0.4147018181372379</v>
      </c>
      <c r="G11" s="103">
        <f t="shared" si="1"/>
        <v>3.999999999999999</v>
      </c>
      <c r="H11" s="103">
        <f t="shared" si="2"/>
        <v>0.03258330395922871</v>
      </c>
      <c r="I11" s="103">
        <f t="shared" si="3"/>
        <v>8846.426043878275</v>
      </c>
      <c r="J11" s="103">
        <f t="shared" si="4"/>
        <v>0.4423213021939137</v>
      </c>
    </row>
    <row r="12" spans="2:10" ht="15.75">
      <c r="B12" s="48" t="s">
        <v>59</v>
      </c>
      <c r="C12" s="49">
        <v>3</v>
      </c>
      <c r="E12" s="103">
        <v>80</v>
      </c>
      <c r="F12" s="103">
        <f t="shared" si="0"/>
        <v>0.4642866601239204</v>
      </c>
      <c r="G12" s="103">
        <f t="shared" si="1"/>
        <v>3.999999999999999</v>
      </c>
      <c r="H12" s="103">
        <f t="shared" si="2"/>
        <v>0.032061802823732055</v>
      </c>
      <c r="I12" s="103">
        <f t="shared" si="3"/>
        <v>9436.187780136825</v>
      </c>
      <c r="J12" s="103">
        <f t="shared" si="4"/>
        <v>0.4718093890068412</v>
      </c>
    </row>
    <row r="13" spans="2:10" ht="16.5" thickBot="1">
      <c r="B13" s="50" t="s">
        <v>60</v>
      </c>
      <c r="C13" s="51">
        <v>1</v>
      </c>
      <c r="E13" s="103">
        <v>85</v>
      </c>
      <c r="F13" s="103">
        <f t="shared" si="0"/>
        <v>0.5162521204289009</v>
      </c>
      <c r="G13" s="103">
        <f t="shared" si="1"/>
        <v>3.999999999999999</v>
      </c>
      <c r="H13" s="103">
        <f t="shared" si="2"/>
        <v>0.03157953306548523</v>
      </c>
      <c r="I13" s="103">
        <f t="shared" si="3"/>
        <v>10025.949516395378</v>
      </c>
      <c r="J13" s="103">
        <f t="shared" si="4"/>
        <v>0.5012974758197689</v>
      </c>
    </row>
    <row r="14" spans="5:10" ht="16.5" thickBot="1">
      <c r="E14" s="103">
        <v>90</v>
      </c>
      <c r="F14" s="103">
        <f t="shared" si="0"/>
        <v>0.5705623627967087</v>
      </c>
      <c r="G14" s="103">
        <f t="shared" si="1"/>
        <v>3.999999999999999</v>
      </c>
      <c r="H14" s="103">
        <f t="shared" si="2"/>
        <v>0.03113148291404907</v>
      </c>
      <c r="I14" s="103">
        <f t="shared" si="3"/>
        <v>10615.711252653928</v>
      </c>
      <c r="J14" s="103">
        <f t="shared" si="4"/>
        <v>0.5307855626326964</v>
      </c>
    </row>
    <row r="15" spans="2:10" ht="15.75">
      <c r="B15" s="46" t="s">
        <v>61</v>
      </c>
      <c r="C15" s="47">
        <f>3.14*(C5/1000)^2/4</f>
        <v>0.002826</v>
      </c>
      <c r="E15" s="103">
        <v>95</v>
      </c>
      <c r="F15" s="103">
        <f t="shared" si="0"/>
        <v>0.6271840969446566</v>
      </c>
      <c r="G15" s="103">
        <f t="shared" si="1"/>
        <v>3.999999999999999</v>
      </c>
      <c r="H15" s="103">
        <f t="shared" si="2"/>
        <v>0.03071351587347995</v>
      </c>
      <c r="I15" s="103">
        <f t="shared" si="3"/>
        <v>11205.472988912477</v>
      </c>
      <c r="J15" s="103">
        <f t="shared" si="4"/>
        <v>0.560273649445624</v>
      </c>
    </row>
    <row r="16" spans="2:10" ht="15.75">
      <c r="B16" s="48" t="s">
        <v>62</v>
      </c>
      <c r="C16" s="49">
        <f>C11*13*C$5/1000</f>
        <v>0.78</v>
      </c>
      <c r="E16" s="103">
        <v>100</v>
      </c>
      <c r="F16" s="103">
        <f t="shared" si="0"/>
        <v>0.6860862702879796</v>
      </c>
      <c r="G16" s="103">
        <f t="shared" si="1"/>
        <v>3.999999999999999</v>
      </c>
      <c r="H16" s="103">
        <f t="shared" si="2"/>
        <v>0.03032218099005891</v>
      </c>
      <c r="I16" s="103">
        <f t="shared" si="3"/>
        <v>11795.234725171029</v>
      </c>
      <c r="J16" s="103">
        <f t="shared" si="4"/>
        <v>0.5897617362585515</v>
      </c>
    </row>
    <row r="17" spans="2:10" ht="15.75">
      <c r="B17" s="48" t="s">
        <v>63</v>
      </c>
      <c r="C17" s="49">
        <f>C12*30*C$5/1000</f>
        <v>5.4</v>
      </c>
      <c r="E17" s="103">
        <v>105</v>
      </c>
      <c r="F17" s="103">
        <f t="shared" si="0"/>
        <v>0.7472398108589258</v>
      </c>
      <c r="G17" s="103">
        <f t="shared" si="1"/>
        <v>3.999999999999999</v>
      </c>
      <c r="H17" s="103">
        <f t="shared" si="2"/>
        <v>0.02995457146679696</v>
      </c>
      <c r="I17" s="103">
        <f t="shared" si="3"/>
        <v>12384.996461429582</v>
      </c>
      <c r="J17" s="103">
        <f t="shared" si="4"/>
        <v>0.6192498230714791</v>
      </c>
    </row>
    <row r="18" spans="2:10" ht="15.75">
      <c r="B18" s="48" t="s">
        <v>64</v>
      </c>
      <c r="C18" s="49">
        <f>C13*340*C$5/1000</f>
        <v>20.4</v>
      </c>
      <c r="E18" s="103">
        <v>110</v>
      </c>
      <c r="F18" s="103">
        <f t="shared" si="0"/>
        <v>0.8106174108370918</v>
      </c>
      <c r="G18" s="103">
        <f t="shared" si="1"/>
        <v>3.999999999999999</v>
      </c>
      <c r="H18" s="103">
        <f t="shared" si="2"/>
        <v>0.029608217635648304</v>
      </c>
      <c r="I18" s="103">
        <f t="shared" si="3"/>
        <v>12974.758197688134</v>
      </c>
      <c r="J18" s="103">
        <f t="shared" si="4"/>
        <v>0.6487379098844067</v>
      </c>
    </row>
    <row r="19" spans="2:10" ht="16.5" thickBot="1">
      <c r="B19" s="50" t="s">
        <v>65</v>
      </c>
      <c r="C19" s="51">
        <f>+C18+C17+C16+C8</f>
        <v>76.58</v>
      </c>
      <c r="E19" s="103">
        <v>115</v>
      </c>
      <c r="F19" s="103">
        <f t="shared" si="0"/>
        <v>0.8761933426865828</v>
      </c>
      <c r="G19" s="103">
        <f t="shared" si="1"/>
        <v>3.999999999999999</v>
      </c>
      <c r="H19" s="103">
        <f t="shared" si="2"/>
        <v>0.029281004786501107</v>
      </c>
      <c r="I19" s="103">
        <f t="shared" si="3"/>
        <v>13564.519933946684</v>
      </c>
      <c r="J19" s="103">
        <f t="shared" si="4"/>
        <v>0.6782259966973343</v>
      </c>
    </row>
    <row r="20" spans="3:10" ht="15.75">
      <c r="C20" s="44"/>
      <c r="E20" s="103">
        <v>120</v>
      </c>
      <c r="F20" s="103">
        <f t="shared" si="0"/>
        <v>0.9439433017589193</v>
      </c>
      <c r="G20" s="103">
        <f t="shared" si="1"/>
        <v>3.999999999999999</v>
      </c>
      <c r="H20" s="103">
        <f t="shared" si="2"/>
        <v>0.028971109270868056</v>
      </c>
      <c r="I20" s="103">
        <f t="shared" si="3"/>
        <v>14154.281670205237</v>
      </c>
      <c r="J20" s="103">
        <f t="shared" si="4"/>
        <v>0.7077140835102619</v>
      </c>
    </row>
    <row r="21" spans="5:10" ht="15.75">
      <c r="E21" s="103">
        <v>125</v>
      </c>
      <c r="F21" s="103">
        <f t="shared" si="0"/>
        <v>1.013844270589284</v>
      </c>
      <c r="G21" s="103">
        <f t="shared" si="1"/>
        <v>3.999999999999999</v>
      </c>
      <c r="H21" s="103">
        <f t="shared" si="2"/>
        <v>0.028676948238023827</v>
      </c>
      <c r="I21" s="103">
        <f t="shared" si="3"/>
        <v>14744.043406463788</v>
      </c>
      <c r="J21" s="103">
        <f t="shared" si="4"/>
        <v>0.7372021703231895</v>
      </c>
    </row>
    <row r="22" spans="5:10" ht="15.75">
      <c r="E22" s="103">
        <v>130</v>
      </c>
      <c r="F22" s="103">
        <f t="shared" si="0"/>
        <v>1.085874401133879</v>
      </c>
      <c r="G22" s="103">
        <f t="shared" si="1"/>
        <v>3.999999999999999</v>
      </c>
      <c r="H22" s="103">
        <f t="shared" si="2"/>
        <v>0.02839713967596865</v>
      </c>
      <c r="I22" s="103">
        <f t="shared" si="3"/>
        <v>15333.805142722338</v>
      </c>
      <c r="J22" s="103">
        <f t="shared" si="4"/>
        <v>0.7666902571361169</v>
      </c>
    </row>
    <row r="23" spans="5:10" ht="15.75">
      <c r="E23" s="103">
        <v>135</v>
      </c>
      <c r="F23" s="103">
        <f t="shared" si="0"/>
        <v>1.1600129119668137</v>
      </c>
      <c r="G23" s="103">
        <f t="shared" si="1"/>
        <v>3.999999999999999</v>
      </c>
      <c r="H23" s="103">
        <f t="shared" si="2"/>
        <v>0.028130470336480383</v>
      </c>
      <c r="I23" s="103">
        <f t="shared" si="3"/>
        <v>15923.566878980893</v>
      </c>
      <c r="J23" s="103">
        <f t="shared" si="4"/>
        <v>0.7961783439490445</v>
      </c>
    </row>
    <row r="24" spans="5:10" ht="15.75">
      <c r="E24" s="103">
        <v>140</v>
      </c>
      <c r="F24" s="103">
        <f t="shared" si="0"/>
        <v>1.2362399980441787</v>
      </c>
      <c r="G24" s="103">
        <f t="shared" si="1"/>
        <v>3.999999999999999</v>
      </c>
      <c r="H24" s="103">
        <f t="shared" si="2"/>
        <v>0.02787586975932237</v>
      </c>
      <c r="I24" s="103">
        <f t="shared" si="3"/>
        <v>16513.328615239443</v>
      </c>
      <c r="J24" s="103">
        <f t="shared" si="4"/>
        <v>0.8256664307619722</v>
      </c>
    </row>
    <row r="25" spans="5:10" ht="15.75">
      <c r="E25" s="103">
        <v>145</v>
      </c>
      <c r="F25" s="103">
        <f t="shared" si="0"/>
        <v>1.314536751098564</v>
      </c>
      <c r="G25" s="103">
        <f t="shared" si="1"/>
        <v>3.999999999999999</v>
      </c>
      <c r="H25" s="103">
        <f t="shared" si="2"/>
        <v>0.027632389063081908</v>
      </c>
      <c r="I25" s="103">
        <f t="shared" si="3"/>
        <v>17103.090351498</v>
      </c>
      <c r="J25" s="103">
        <f t="shared" si="4"/>
        <v>0.8551545175748998</v>
      </c>
    </row>
    <row r="26" spans="5:10" ht="15.75">
      <c r="E26" s="103">
        <v>150</v>
      </c>
      <c r="F26" s="103">
        <f t="shared" si="0"/>
        <v>1.3948850890832047</v>
      </c>
      <c r="G26" s="103">
        <f t="shared" si="1"/>
        <v>3.999999999999999</v>
      </c>
      <c r="H26" s="103">
        <f t="shared" si="2"/>
        <v>0.027399183496437586</v>
      </c>
      <c r="I26" s="103">
        <f t="shared" si="3"/>
        <v>17692.85208775655</v>
      </c>
      <c r="J26" s="103">
        <f t="shared" si="4"/>
        <v>0.8846426043878274</v>
      </c>
    </row>
    <row r="27" spans="5:10" ht="15.75">
      <c r="E27" s="103">
        <v>155</v>
      </c>
      <c r="F27" s="103">
        <f t="shared" si="0"/>
        <v>1.4772676933655406</v>
      </c>
      <c r="G27" s="103">
        <f t="shared" si="1"/>
        <v>3.999999999999999</v>
      </c>
      <c r="H27" s="103">
        <f t="shared" si="2"/>
        <v>0.027175497982005584</v>
      </c>
      <c r="I27" s="103">
        <f t="shared" si="3"/>
        <v>18282.613824015098</v>
      </c>
      <c r="J27" s="103">
        <f t="shared" si="4"/>
        <v>0.9141306912007549</v>
      </c>
    </row>
    <row r="28" spans="5:10" ht="15.75">
      <c r="E28" s="103">
        <v>160</v>
      </c>
      <c r="F28" s="103">
        <f t="shared" si="0"/>
        <v>1.5616679525932975</v>
      </c>
      <c r="G28" s="103">
        <f t="shared" si="1"/>
        <v>3.999999999999999</v>
      </c>
      <c r="H28" s="103">
        <f t="shared" si="2"/>
        <v>0.026960655061047705</v>
      </c>
      <c r="I28" s="103">
        <f t="shared" si="3"/>
        <v>18872.37556027365</v>
      </c>
      <c r="J28" s="103">
        <f t="shared" si="4"/>
        <v>0.9436187780136824</v>
      </c>
    </row>
    <row r="29" spans="5:10" ht="15.75">
      <c r="E29" s="103">
        <v>165</v>
      </c>
      <c r="F29" s="103">
        <f t="shared" si="0"/>
        <v>1.6480699123351974</v>
      </c>
      <c r="G29" s="103">
        <f t="shared" si="1"/>
        <v>3.999999999999999</v>
      </c>
      <c r="H29" s="103">
        <f t="shared" si="2"/>
        <v>0.02675404477888815</v>
      </c>
      <c r="I29" s="103">
        <f t="shared" si="3"/>
        <v>19462.1372965322</v>
      </c>
      <c r="J29" s="103">
        <f t="shared" si="4"/>
        <v>0.97310686482661</v>
      </c>
    </row>
    <row r="30" spans="5:10" ht="15.75">
      <c r="E30" s="103">
        <v>170</v>
      </c>
      <c r="F30" s="103">
        <f t="shared" si="0"/>
        <v>1.736458229743167</v>
      </c>
      <c r="G30" s="103">
        <f t="shared" si="1"/>
        <v>3.999999999999999</v>
      </c>
      <c r="H30" s="103">
        <f t="shared" si="2"/>
        <v>0.026555116150152675</v>
      </c>
      <c r="I30" s="103">
        <f t="shared" si="3"/>
        <v>20051.899032790756</v>
      </c>
      <c r="J30" s="103">
        <f t="shared" si="4"/>
        <v>1.0025949516395378</v>
      </c>
    </row>
    <row r="31" spans="5:10" ht="15.75">
      <c r="E31" s="103">
        <v>175</v>
      </c>
      <c r="F31" s="103">
        <f t="shared" si="0"/>
        <v>1.8268181326006003</v>
      </c>
      <c r="G31" s="103">
        <f t="shared" si="1"/>
        <v>3.999999999999999</v>
      </c>
      <c r="H31" s="103">
        <f t="shared" si="2"/>
        <v>0.026363369918544505</v>
      </c>
      <c r="I31" s="103">
        <f t="shared" si="3"/>
        <v>20641.660769049307</v>
      </c>
      <c r="J31" s="103">
        <f t="shared" si="4"/>
        <v>1.0320830384524653</v>
      </c>
    </row>
    <row r="32" spans="5:10" ht="15.75">
      <c r="E32" s="103">
        <v>180</v>
      </c>
      <c r="F32" s="103">
        <f t="shared" si="0"/>
        <v>1.9191353822177664</v>
      </c>
      <c r="G32" s="103">
        <f t="shared" si="1"/>
        <v>3.999999999999999</v>
      </c>
      <c r="H32" s="103">
        <f t="shared" si="2"/>
        <v>0.02617835238395613</v>
      </c>
      <c r="I32" s="103">
        <f t="shared" si="3"/>
        <v>21231.422505307855</v>
      </c>
      <c r="J32" s="103">
        <f t="shared" si="4"/>
        <v>1.0615711252653928</v>
      </c>
    </row>
    <row r="33" spans="5:10" ht="15.75">
      <c r="E33" s="103">
        <v>185</v>
      </c>
      <c r="F33" s="103">
        <f t="shared" si="0"/>
        <v>2.013396239714913</v>
      </c>
      <c r="G33" s="103">
        <f t="shared" si="1"/>
        <v>3.999999999999999</v>
      </c>
      <c r="H33" s="103">
        <f t="shared" si="2"/>
        <v>0.02599965011471032</v>
      </c>
      <c r="I33" s="103">
        <f t="shared" si="3"/>
        <v>21821.184241566414</v>
      </c>
      <c r="J33" s="103">
        <f t="shared" si="4"/>
        <v>1.0910592120783205</v>
      </c>
    </row>
    <row r="34" spans="5:10" ht="15.75">
      <c r="E34" s="103">
        <v>190</v>
      </c>
      <c r="F34" s="103">
        <f t="shared" si="0"/>
        <v>2.1095874352996002</v>
      </c>
      <c r="G34" s="103">
        <f t="shared" si="1"/>
        <v>3.999999999999999</v>
      </c>
      <c r="H34" s="103">
        <f t="shared" si="2"/>
        <v>0.02582688539784735</v>
      </c>
      <c r="I34" s="103">
        <f t="shared" si="3"/>
        <v>22410.945977824955</v>
      </c>
      <c r="J34" s="103">
        <f t="shared" si="4"/>
        <v>1.120547298891248</v>
      </c>
    </row>
    <row r="35" spans="5:10" ht="15.75">
      <c r="E35" s="103">
        <v>195</v>
      </c>
      <c r="F35" s="103">
        <f t="shared" si="0"/>
        <v>2.2076961401997304</v>
      </c>
      <c r="G35" s="103">
        <f t="shared" si="1"/>
        <v>3.999999999999999</v>
      </c>
      <c r="H35" s="103">
        <f t="shared" si="2"/>
        <v>0.025659712307993895</v>
      </c>
      <c r="I35" s="103">
        <f t="shared" si="3"/>
        <v>23000.707714083506</v>
      </c>
      <c r="J35" s="103">
        <f t="shared" si="4"/>
        <v>1.1500353857041754</v>
      </c>
    </row>
    <row r="36" spans="5:10" ht="15.75">
      <c r="E36" s="103">
        <v>200</v>
      </c>
      <c r="F36" s="103">
        <f t="shared" si="0"/>
        <v>2.3077099409598127</v>
      </c>
      <c r="G36" s="103">
        <f t="shared" si="1"/>
        <v>3.999999999999999</v>
      </c>
      <c r="H36" s="103">
        <f t="shared" si="2"/>
        <v>0.02549781329721487</v>
      </c>
      <c r="I36" s="103">
        <f t="shared" si="3"/>
        <v>23590.469450342058</v>
      </c>
      <c r="J36" s="103">
        <f t="shared" si="4"/>
        <v>1.179523472517103</v>
      </c>
    </row>
    <row r="37" spans="5:10" ht="15.75">
      <c r="E37" s="103">
        <v>205</v>
      </c>
      <c r="F37" s="103">
        <f t="shared" si="0"/>
        <v>2.409616815846786</v>
      </c>
      <c r="G37" s="103">
        <f t="shared" si="1"/>
        <v>3.999999999999999</v>
      </c>
      <c r="H37" s="103">
        <f t="shared" si="2"/>
        <v>0.025340896225673117</v>
      </c>
      <c r="I37" s="103">
        <f t="shared" si="3"/>
        <v>24180.23118660062</v>
      </c>
      <c r="J37" s="103">
        <f t="shared" si="4"/>
        <v>1.2090115593300308</v>
      </c>
    </row>
    <row r="38" spans="5:10" ht="15.75">
      <c r="E38" s="103">
        <v>210</v>
      </c>
      <c r="F38" s="103">
        <f aca="true" t="shared" si="5" ref="F38:F56">H38*C$19/C$5*1000*J38^2/2/9.81</f>
        <v>2.5134051131445374</v>
      </c>
      <c r="G38" s="103">
        <f aca="true" t="shared" si="6" ref="G38:G56">(C$9-C$10)/C$6*10000</f>
        <v>3.999999999999999</v>
      </c>
      <c r="H38" s="103">
        <f aca="true" t="shared" si="7" ref="H38:H56">0.316/I38^0.25</f>
        <v>0.025188691766890765</v>
      </c>
      <c r="I38" s="103">
        <f aca="true" t="shared" si="8" ref="I38:I56">C$6*J38*C$5/1000/C$7*1000</f>
        <v>24769.992922859165</v>
      </c>
      <c r="J38" s="103">
        <f aca="true" t="shared" si="9" ref="J38:J56">E38/60000/C$15</f>
        <v>1.2384996461429583</v>
      </c>
    </row>
    <row r="39" spans="5:10" ht="15.75">
      <c r="E39" s="103">
        <v>215</v>
      </c>
      <c r="F39" s="103">
        <f t="shared" si="5"/>
        <v>2.619063531144146</v>
      </c>
      <c r="G39" s="103">
        <f t="shared" si="6"/>
        <v>3.999999999999999</v>
      </c>
      <c r="H39" s="103">
        <f t="shared" si="7"/>
        <v>0.025040951132670505</v>
      </c>
      <c r="I39" s="103">
        <f t="shared" si="8"/>
        <v>25359.754659117712</v>
      </c>
      <c r="J39" s="103">
        <f t="shared" si="9"/>
        <v>1.2679877329558857</v>
      </c>
    </row>
    <row r="40" spans="5:10" ht="15.75">
      <c r="E40" s="103">
        <v>220</v>
      </c>
      <c r="F40" s="103">
        <f t="shared" si="5"/>
        <v>2.726581099660633</v>
      </c>
      <c r="G40" s="103">
        <f t="shared" si="6"/>
        <v>3.999999999999999</v>
      </c>
      <c r="H40" s="103">
        <f t="shared" si="7"/>
        <v>0.02489744407186847</v>
      </c>
      <c r="I40" s="103">
        <f t="shared" si="8"/>
        <v>25949.516395376268</v>
      </c>
      <c r="J40" s="103">
        <f t="shared" si="9"/>
        <v>1.2974758197688134</v>
      </c>
    </row>
    <row r="41" spans="5:10" ht="15.75">
      <c r="E41" s="103">
        <v>225</v>
      </c>
      <c r="F41" s="103">
        <f t="shared" si="5"/>
        <v>2.8359471629274298</v>
      </c>
      <c r="G41" s="103">
        <f t="shared" si="6"/>
        <v>3.999999999999999</v>
      </c>
      <c r="H41" s="103">
        <f t="shared" si="7"/>
        <v>0.02475795710465479</v>
      </c>
      <c r="I41" s="103">
        <f t="shared" si="8"/>
        <v>26539.27813163482</v>
      </c>
      <c r="J41" s="103">
        <f t="shared" si="9"/>
        <v>1.326963906581741</v>
      </c>
    </row>
    <row r="42" spans="5:10" ht="15.75">
      <c r="E42" s="103">
        <v>230</v>
      </c>
      <c r="F42" s="103">
        <f t="shared" si="5"/>
        <v>2.947151363737268</v>
      </c>
      <c r="G42" s="103">
        <f t="shared" si="6"/>
        <v>3.999999999999999</v>
      </c>
      <c r="H42" s="103">
        <f t="shared" si="7"/>
        <v>0.02462229195999564</v>
      </c>
      <c r="I42" s="103">
        <f t="shared" si="8"/>
        <v>27129.039867893367</v>
      </c>
      <c r="J42" s="103">
        <f t="shared" si="9"/>
        <v>1.3564519933946686</v>
      </c>
    </row>
    <row r="43" spans="5:10" ht="15.75">
      <c r="E43" s="103">
        <v>235</v>
      </c>
      <c r="F43" s="103">
        <f t="shared" si="5"/>
        <v>3.060183628713286</v>
      </c>
      <c r="G43" s="103">
        <f t="shared" si="6"/>
        <v>3.999999999999999</v>
      </c>
      <c r="H43" s="103">
        <f t="shared" si="7"/>
        <v>0.024490264189109132</v>
      </c>
      <c r="I43" s="103">
        <f t="shared" si="8"/>
        <v>27718.801604151922</v>
      </c>
      <c r="J43" s="103">
        <f t="shared" si="9"/>
        <v>1.385940080207596</v>
      </c>
    </row>
    <row r="44" spans="5:10" ht="15.75">
      <c r="E44" s="103">
        <v>240</v>
      </c>
      <c r="F44" s="103">
        <f t="shared" si="5"/>
        <v>3.1750341546073213</v>
      </c>
      <c r="G44" s="103">
        <f t="shared" si="6"/>
        <v>3.999999999999999</v>
      </c>
      <c r="H44" s="103">
        <f t="shared" si="7"/>
        <v>0.0243617019317966</v>
      </c>
      <c r="I44" s="103">
        <f t="shared" si="8"/>
        <v>28308.563340410474</v>
      </c>
      <c r="J44" s="103">
        <f t="shared" si="9"/>
        <v>1.4154281670205238</v>
      </c>
    </row>
    <row r="45" spans="5:10" ht="15.75">
      <c r="E45" s="103">
        <v>245</v>
      </c>
      <c r="F45" s="103">
        <f t="shared" si="5"/>
        <v>3.2916933955336183</v>
      </c>
      <c r="G45" s="103">
        <f t="shared" si="6"/>
        <v>3.999999999999999</v>
      </c>
      <c r="H45" s="103">
        <f t="shared" si="7"/>
        <v>0.024236444815995278</v>
      </c>
      <c r="I45" s="103">
        <f t="shared" si="8"/>
        <v>28898.32507666903</v>
      </c>
      <c r="J45" s="103">
        <f t="shared" si="9"/>
        <v>1.4449162538334512</v>
      </c>
    </row>
    <row r="46" spans="5:10" ht="15.75">
      <c r="E46" s="103">
        <v>250</v>
      </c>
      <c r="F46" s="103">
        <f t="shared" si="5"/>
        <v>3.4101520510561842</v>
      </c>
      <c r="G46" s="103">
        <f t="shared" si="6"/>
        <v>3.999999999999999</v>
      </c>
      <c r="H46" s="103">
        <f t="shared" si="7"/>
        <v>0.02411434297377056</v>
      </c>
      <c r="I46" s="103">
        <f t="shared" si="8"/>
        <v>29488.086812927577</v>
      </c>
      <c r="J46" s="103">
        <f t="shared" si="9"/>
        <v>1.474404340646379</v>
      </c>
    </row>
    <row r="47" spans="5:10" ht="15.75">
      <c r="E47" s="103">
        <v>255</v>
      </c>
      <c r="F47" s="103">
        <f t="shared" si="5"/>
        <v>3.530401055056642</v>
      </c>
      <c r="G47" s="103">
        <f t="shared" si="6"/>
        <v>3.999999999999999</v>
      </c>
      <c r="H47" s="103">
        <f t="shared" si="7"/>
        <v>0.023995256159370114</v>
      </c>
      <c r="I47" s="103">
        <f t="shared" si="8"/>
        <v>30077.84854918613</v>
      </c>
      <c r="J47" s="103">
        <f t="shared" si="9"/>
        <v>1.5038924274593066</v>
      </c>
    </row>
    <row r="48" spans="5:10" ht="15.75">
      <c r="E48" s="103">
        <v>260</v>
      </c>
      <c r="F48" s="103">
        <f t="shared" si="5"/>
        <v>3.652431565317012</v>
      </c>
      <c r="G48" s="103">
        <f t="shared" si="6"/>
        <v>3.999999999999999</v>
      </c>
      <c r="H48" s="103">
        <f t="shared" si="7"/>
        <v>0.023879052956981065</v>
      </c>
      <c r="I48" s="103">
        <f t="shared" si="8"/>
        <v>30667.610285444676</v>
      </c>
      <c r="J48" s="103">
        <f t="shared" si="9"/>
        <v>1.5333805142722339</v>
      </c>
    </row>
    <row r="49" spans="5:10" ht="15.75">
      <c r="E49" s="103">
        <v>265</v>
      </c>
      <c r="F49" s="103">
        <f t="shared" si="5"/>
        <v>3.77623495375856</v>
      </c>
      <c r="G49" s="103">
        <f t="shared" si="6"/>
        <v>3.999999999999999</v>
      </c>
      <c r="H49" s="103">
        <f t="shared" si="7"/>
        <v>0.02376561006753521</v>
      </c>
      <c r="I49" s="103">
        <f t="shared" si="8"/>
        <v>31257.37202170323</v>
      </c>
      <c r="J49" s="103">
        <f t="shared" si="9"/>
        <v>1.5628686010851616</v>
      </c>
    </row>
    <row r="50" spans="5:10" ht="15.75">
      <c r="E50" s="103">
        <v>270</v>
      </c>
      <c r="F50" s="103">
        <f t="shared" si="5"/>
        <v>3.901802797283667</v>
      </c>
      <c r="G50" s="103">
        <f t="shared" si="6"/>
        <v>3.999999999999999</v>
      </c>
      <c r="H50" s="103">
        <f t="shared" si="7"/>
        <v>0.02365481166534731</v>
      </c>
      <c r="I50" s="103">
        <f t="shared" si="8"/>
        <v>31847.133757961787</v>
      </c>
      <c r="J50" s="103">
        <f t="shared" si="9"/>
        <v>1.592356687898089</v>
      </c>
    </row>
    <row r="51" spans="5:10" ht="15.75">
      <c r="E51" s="103">
        <v>275</v>
      </c>
      <c r="F51" s="103">
        <f t="shared" si="5"/>
        <v>4.029126869172961</v>
      </c>
      <c r="G51" s="103">
        <f t="shared" si="6"/>
        <v>3.999999999999999</v>
      </c>
      <c r="H51" s="103">
        <f t="shared" si="7"/>
        <v>0.023546548816595465</v>
      </c>
      <c r="I51" s="103">
        <f t="shared" si="8"/>
        <v>32436.89549422033</v>
      </c>
      <c r="J51" s="103">
        <f t="shared" si="9"/>
        <v>1.6218447747110167</v>
      </c>
    </row>
    <row r="52" spans="5:10" ht="15.75">
      <c r="E52" s="103">
        <v>280</v>
      </c>
      <c r="F52" s="103">
        <f t="shared" si="5"/>
        <v>4.1581991309944355</v>
      </c>
      <c r="G52" s="103">
        <f t="shared" si="6"/>
        <v>3.999999999999999</v>
      </c>
      <c r="H52" s="103">
        <f t="shared" si="7"/>
        <v>0.023440718952693607</v>
      </c>
      <c r="I52" s="103">
        <f t="shared" si="8"/>
        <v>33026.657230478886</v>
      </c>
      <c r="J52" s="103">
        <f t="shared" si="9"/>
        <v>1.6513328615239444</v>
      </c>
    </row>
    <row r="53" spans="5:10" ht="15.75">
      <c r="E53" s="103">
        <v>285</v>
      </c>
      <c r="F53" s="103">
        <f t="shared" si="5"/>
        <v>4.289011724985464</v>
      </c>
      <c r="G53" s="103">
        <f t="shared" si="6"/>
        <v>3.999999999999999</v>
      </c>
      <c r="H53" s="103">
        <f t="shared" si="7"/>
        <v>0.023337225392496715</v>
      </c>
      <c r="I53" s="103">
        <f t="shared" si="8"/>
        <v>33616.418966737445</v>
      </c>
      <c r="J53" s="103">
        <f t="shared" si="9"/>
        <v>1.680820948336872</v>
      </c>
    </row>
    <row r="54" spans="5:10" ht="15.75">
      <c r="E54" s="103">
        <v>290</v>
      </c>
      <c r="F54" s="103">
        <f t="shared" si="5"/>
        <v>4.421556966872187</v>
      </c>
      <c r="G54" s="103">
        <f t="shared" si="6"/>
        <v>3.999999999999999</v>
      </c>
      <c r="H54" s="103">
        <f t="shared" si="7"/>
        <v>0.023235976908041522</v>
      </c>
      <c r="I54" s="103">
        <f t="shared" si="8"/>
        <v>34206.180702996</v>
      </c>
      <c r="J54" s="103">
        <f t="shared" si="9"/>
        <v>1.7103090351497996</v>
      </c>
    </row>
    <row r="55" spans="5:10" ht="15.75">
      <c r="E55" s="103">
        <v>295</v>
      </c>
      <c r="F55" s="103">
        <f t="shared" si="5"/>
        <v>4.555827339093984</v>
      </c>
      <c r="G55" s="103">
        <f t="shared" si="6"/>
        <v>3.999999999999999</v>
      </c>
      <c r="H55" s="103">
        <f t="shared" si="7"/>
        <v>0.023136887329180688</v>
      </c>
      <c r="I55" s="103">
        <f t="shared" si="8"/>
        <v>34795.94243925454</v>
      </c>
      <c r="J55" s="103">
        <f t="shared" si="9"/>
        <v>1.739797121962727</v>
      </c>
    </row>
    <row r="56" spans="5:10" ht="15.75">
      <c r="E56" s="103">
        <v>300</v>
      </c>
      <c r="F56" s="103">
        <f t="shared" si="5"/>
        <v>4.6918154844037</v>
      </c>
      <c r="G56" s="103">
        <f t="shared" si="6"/>
        <v>3.999999999999999</v>
      </c>
      <c r="H56" s="103">
        <f t="shared" si="7"/>
        <v>0.0230398751830331</v>
      </c>
      <c r="I56" s="103">
        <f t="shared" si="8"/>
        <v>35385.7041755131</v>
      </c>
      <c r="J56" s="103">
        <f t="shared" si="9"/>
        <v>1.7692852087756548</v>
      </c>
    </row>
  </sheetData>
  <printOptions/>
  <pageMargins left="0.7874015748031497" right="0.7874015748031497" top="0.984251968503937" bottom="0.984251968503937" header="0.5" footer="0.5"/>
  <pageSetup horizontalDpi="300" verticalDpi="300" orientation="portrait" r:id="rId3"/>
  <headerFooter alignWithMargins="0">
    <oddHeader>&amp;C&amp;F</oddHeader>
    <oddFooter>&amp;CPagina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3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I38" sqref="I38"/>
    </sheetView>
  </sheetViews>
  <sheetFormatPr defaultColWidth="9.140625" defaultRowHeight="12.75"/>
  <cols>
    <col min="1" max="1" width="3.421875" style="60" customWidth="1"/>
    <col min="2" max="2" width="34.140625" style="59" customWidth="1"/>
    <col min="3" max="3" width="6.8515625" style="59" customWidth="1"/>
    <col min="4" max="4" width="7.421875" style="60" customWidth="1"/>
    <col min="5" max="5" width="19.421875" style="60" customWidth="1"/>
    <col min="6" max="6" width="5.140625" style="60" customWidth="1"/>
    <col min="7" max="16384" width="10.7109375" style="60" customWidth="1"/>
  </cols>
  <sheetData>
    <row r="1" s="75" customFormat="1" ht="15.75"/>
    <row r="2" s="75" customFormat="1" ht="15.75"/>
    <row r="3" ht="16.5" thickBot="1"/>
    <row r="4" spans="2:6" ht="16.5" customHeight="1" thickBot="1">
      <c r="B4" s="35" t="s">
        <v>12</v>
      </c>
      <c r="C4" s="35"/>
      <c r="E4" s="35" t="s">
        <v>66</v>
      </c>
      <c r="F4" s="35"/>
    </row>
    <row r="5" spans="2:6" ht="15.75">
      <c r="B5" s="37" t="s">
        <v>13</v>
      </c>
      <c r="C5" s="37">
        <v>40</v>
      </c>
      <c r="E5" s="37" t="s">
        <v>67</v>
      </c>
      <c r="F5" s="37">
        <v>5</v>
      </c>
    </row>
    <row r="6" spans="2:6" ht="15.75">
      <c r="B6" s="37" t="s">
        <v>14</v>
      </c>
      <c r="C6" s="37">
        <v>200</v>
      </c>
      <c r="E6" s="37" t="s">
        <v>68</v>
      </c>
      <c r="F6" s="37">
        <v>0</v>
      </c>
    </row>
    <row r="7" spans="2:6" ht="15.75">
      <c r="B7" s="37" t="s">
        <v>31</v>
      </c>
      <c r="C7" s="37">
        <v>1000</v>
      </c>
      <c r="E7" s="37" t="s">
        <v>69</v>
      </c>
      <c r="F7" s="37">
        <v>10</v>
      </c>
    </row>
    <row r="8" spans="2:6" ht="15.75">
      <c r="B8" s="37" t="s">
        <v>16</v>
      </c>
      <c r="C8" s="37">
        <v>3</v>
      </c>
      <c r="E8" s="37" t="s">
        <v>70</v>
      </c>
      <c r="F8" s="37">
        <v>2</v>
      </c>
    </row>
    <row r="9" spans="2:6" ht="15.75">
      <c r="B9" s="37" t="s">
        <v>17</v>
      </c>
      <c r="C9" s="37">
        <v>50</v>
      </c>
      <c r="E9" s="37" t="s">
        <v>71</v>
      </c>
      <c r="F9" s="37">
        <v>0</v>
      </c>
    </row>
    <row r="10" spans="2:6" ht="16.5" thickBot="1">
      <c r="B10" s="61"/>
      <c r="C10" s="61"/>
      <c r="E10" s="37" t="s">
        <v>72</v>
      </c>
      <c r="F10" s="37">
        <v>50</v>
      </c>
    </row>
    <row r="11" spans="2:5" ht="16.5" customHeight="1" thickBot="1">
      <c r="B11" s="35" t="s">
        <v>18</v>
      </c>
      <c r="C11" s="35"/>
      <c r="E11" s="62"/>
    </row>
    <row r="12" spans="2:5" ht="15.75">
      <c r="B12" s="37" t="s">
        <v>32</v>
      </c>
      <c r="C12" s="37">
        <f>3.14*(C5/1000)^2/4</f>
        <v>0.0012560000000000002</v>
      </c>
      <c r="E12" s="62"/>
    </row>
    <row r="13" spans="2:5" ht="15.75">
      <c r="B13" s="37" t="s">
        <v>20</v>
      </c>
      <c r="C13" s="37">
        <f>C6/60000/C12</f>
        <v>2.653927813163482</v>
      </c>
      <c r="E13" s="62"/>
    </row>
    <row r="14" spans="2:5" ht="15.75">
      <c r="B14" s="37" t="s">
        <v>21</v>
      </c>
      <c r="C14" s="37">
        <f>+C13*C7*C5/1000/C8*1000</f>
        <v>35385.70417551309</v>
      </c>
      <c r="E14" s="62"/>
    </row>
    <row r="15" spans="2:5" ht="15.75">
      <c r="B15" s="37" t="s">
        <v>22</v>
      </c>
      <c r="C15" s="37">
        <f>0.316/C14^0.25</f>
        <v>0.0230398751830331</v>
      </c>
      <c r="E15" s="63"/>
    </row>
    <row r="16" spans="2:5" ht="16.5" thickBot="1">
      <c r="B16" s="37" t="s">
        <v>23</v>
      </c>
      <c r="C16" s="37">
        <f>C15*(C9+D36)/C5*1000*C13^2/2/9.81</f>
        <v>10.338781182986732</v>
      </c>
      <c r="E16" s="62"/>
    </row>
    <row r="17" spans="5:6" ht="18.75" customHeight="1" thickBot="1">
      <c r="E17" s="35" t="s">
        <v>73</v>
      </c>
      <c r="F17" s="37">
        <f>(F10-F7)+(F8-F5)/C7*10000+(F9^2-F6^2)/2/9.81+C16</f>
        <v>20.338781182986732</v>
      </c>
    </row>
    <row r="18" spans="5:6" ht="18.75" customHeight="1" thickBot="1">
      <c r="E18" s="35" t="s">
        <v>74</v>
      </c>
      <c r="F18" s="37">
        <f>F17*C7*C6/60000/75</f>
        <v>0.9039458303549659</v>
      </c>
    </row>
    <row r="19" ht="18.75" customHeight="1" thickBot="1">
      <c r="E19" s="63"/>
    </row>
    <row r="20" spans="2:4" ht="18.75" customHeight="1" thickBot="1">
      <c r="B20" s="35" t="s">
        <v>33</v>
      </c>
      <c r="C20" s="35"/>
      <c r="D20" s="35"/>
    </row>
    <row r="21" spans="2:4" ht="18.75" customHeight="1" thickBot="1">
      <c r="B21" s="35" t="s">
        <v>34</v>
      </c>
      <c r="C21" s="35"/>
      <c r="D21" s="35" t="s">
        <v>35</v>
      </c>
    </row>
    <row r="22" spans="2:4" ht="15.75">
      <c r="B22" s="37" t="s">
        <v>36</v>
      </c>
      <c r="C22" s="37"/>
      <c r="D22" s="37">
        <f>900*C22*C5/1000</f>
        <v>0</v>
      </c>
    </row>
    <row r="23" spans="2:4" ht="15.75">
      <c r="B23" s="37" t="s">
        <v>37</v>
      </c>
      <c r="C23" s="37"/>
      <c r="D23" s="37">
        <f>420*C23*C5/1000</f>
        <v>0</v>
      </c>
    </row>
    <row r="24" spans="2:4" ht="15.75">
      <c r="B24" s="37" t="s">
        <v>38</v>
      </c>
      <c r="C24" s="37"/>
      <c r="D24" s="37">
        <f>400*C24*C5/1000</f>
        <v>0</v>
      </c>
    </row>
    <row r="25" spans="2:4" ht="15.75">
      <c r="B25" s="37" t="s">
        <v>39</v>
      </c>
      <c r="C25" s="37"/>
      <c r="D25" s="37">
        <f>200*C25*C5/1000</f>
        <v>0</v>
      </c>
    </row>
    <row r="26" spans="2:4" ht="15.75">
      <c r="B26" s="37" t="s">
        <v>40</v>
      </c>
      <c r="C26" s="37"/>
      <c r="D26" s="37">
        <f>160*C26*C5/1000</f>
        <v>0</v>
      </c>
    </row>
    <row r="27" spans="2:4" ht="15.75">
      <c r="B27" s="37" t="s">
        <v>41</v>
      </c>
      <c r="C27" s="37"/>
      <c r="D27" s="37">
        <f>150*C27*C5/1000</f>
        <v>0</v>
      </c>
    </row>
    <row r="28" spans="2:4" ht="15.75">
      <c r="B28" s="37" t="s">
        <v>42</v>
      </c>
      <c r="C28" s="37"/>
      <c r="D28" s="37">
        <f>100*C28*C5/1000</f>
        <v>0</v>
      </c>
    </row>
    <row r="29" spans="2:4" ht="15.75">
      <c r="B29" s="37" t="s">
        <v>43</v>
      </c>
      <c r="C29" s="37"/>
      <c r="D29" s="37">
        <f>50*C29*C5/1000</f>
        <v>0</v>
      </c>
    </row>
    <row r="30" spans="2:4" ht="15.75">
      <c r="B30" s="37" t="s">
        <v>44</v>
      </c>
      <c r="C30" s="37"/>
      <c r="D30" s="37">
        <f>35*C30*C5/1000</f>
        <v>0</v>
      </c>
    </row>
    <row r="31" spans="2:4" ht="15.75">
      <c r="B31" s="37" t="s">
        <v>45</v>
      </c>
      <c r="C31" s="37"/>
      <c r="D31" s="37">
        <f>20*C31*C5/1000</f>
        <v>0</v>
      </c>
    </row>
    <row r="32" spans="2:4" ht="15.75">
      <c r="B32" s="37" t="s">
        <v>46</v>
      </c>
      <c r="C32" s="37"/>
      <c r="D32" s="37">
        <f>30*C32*C5/1000</f>
        <v>0</v>
      </c>
    </row>
    <row r="33" spans="2:4" ht="15.75">
      <c r="B33" s="37" t="s">
        <v>47</v>
      </c>
      <c r="C33" s="37"/>
      <c r="D33" s="37">
        <f>20*C33*C5/1000</f>
        <v>0</v>
      </c>
    </row>
    <row r="34" spans="2:4" ht="15.75">
      <c r="B34" s="37" t="s">
        <v>48</v>
      </c>
      <c r="C34" s="37"/>
      <c r="D34" s="37">
        <f>20*C34*C5/1000</f>
        <v>0</v>
      </c>
    </row>
    <row r="35" spans="2:4" ht="16.5" thickBot="1">
      <c r="B35" s="37" t="s">
        <v>49</v>
      </c>
      <c r="C35" s="37"/>
      <c r="D35" s="37">
        <f>20*C35*C5/1000</f>
        <v>0</v>
      </c>
    </row>
    <row r="36" spans="2:4" ht="19.5" customHeight="1" thickBot="1">
      <c r="B36" s="35" t="s">
        <v>50</v>
      </c>
      <c r="C36" s="35"/>
      <c r="D36" s="35">
        <f>SUM(D22:D35)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5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52" customWidth="1"/>
    <col min="2" max="2" width="8.7109375" style="52" customWidth="1"/>
    <col min="3" max="3" width="10.7109375" style="52" customWidth="1"/>
    <col min="4" max="16384" width="11.421875" style="53" customWidth="1"/>
  </cols>
  <sheetData>
    <row r="1" s="75" customFormat="1" ht="15.75"/>
    <row r="2" s="75" customFormat="1" ht="15.75"/>
    <row r="3" spans="1:2" ht="12.75">
      <c r="A3" s="104" t="s">
        <v>51</v>
      </c>
      <c r="B3" s="105" t="s">
        <v>75</v>
      </c>
    </row>
    <row r="4" spans="1:2" ht="12.75">
      <c r="A4" s="106">
        <v>0</v>
      </c>
      <c r="B4" s="106">
        <v>11</v>
      </c>
    </row>
    <row r="5" spans="1:2" ht="12.75">
      <c r="A5" s="106">
        <v>10</v>
      </c>
      <c r="B5" s="106">
        <f aca="true" t="shared" si="0" ref="B5:B13">B$4-(B$4-B$14)/(A$14-A$4)*(A5-A$4)</f>
        <v>10.95</v>
      </c>
    </row>
    <row r="6" spans="1:2" ht="12.75">
      <c r="A6" s="106">
        <v>20</v>
      </c>
      <c r="B6" s="106">
        <f t="shared" si="0"/>
        <v>10.9</v>
      </c>
    </row>
    <row r="7" spans="1:2" ht="12.75">
      <c r="A7" s="106">
        <v>30</v>
      </c>
      <c r="B7" s="106">
        <f t="shared" si="0"/>
        <v>10.85</v>
      </c>
    </row>
    <row r="8" spans="1:2" ht="12.75">
      <c r="A8" s="106">
        <v>40</v>
      </c>
      <c r="B8" s="106">
        <f t="shared" si="0"/>
        <v>10.8</v>
      </c>
    </row>
    <row r="9" spans="1:2" ht="12.75">
      <c r="A9" s="106">
        <v>50</v>
      </c>
      <c r="B9" s="106">
        <f t="shared" si="0"/>
        <v>10.75</v>
      </c>
    </row>
    <row r="10" spans="1:2" ht="12.75">
      <c r="A10" s="106">
        <v>60</v>
      </c>
      <c r="B10" s="106">
        <f t="shared" si="0"/>
        <v>10.7</v>
      </c>
    </row>
    <row r="11" spans="1:2" ht="12.75">
      <c r="A11" s="106">
        <v>70</v>
      </c>
      <c r="B11" s="106">
        <f t="shared" si="0"/>
        <v>10.65</v>
      </c>
    </row>
    <row r="12" spans="1:2" ht="12.75">
      <c r="A12" s="106">
        <v>80</v>
      </c>
      <c r="B12" s="106">
        <f t="shared" si="0"/>
        <v>10.6</v>
      </c>
    </row>
    <row r="13" spans="1:2" ht="12.75">
      <c r="A13" s="106">
        <v>90</v>
      </c>
      <c r="B13" s="106">
        <f t="shared" si="0"/>
        <v>10.55</v>
      </c>
    </row>
    <row r="14" spans="1:2" ht="12.75">
      <c r="A14" s="106">
        <v>100</v>
      </c>
      <c r="B14" s="106">
        <v>10.5</v>
      </c>
    </row>
    <row r="15" spans="1:2" ht="12.75">
      <c r="A15" s="106">
        <v>110</v>
      </c>
      <c r="B15" s="106">
        <f aca="true" t="shared" si="1" ref="B15:B23">B$14-(B$14-B$24)/(A$24-A$14)*(A15-A$14)</f>
        <v>10.4</v>
      </c>
    </row>
    <row r="16" spans="1:2" ht="12.75">
      <c r="A16" s="106">
        <v>120</v>
      </c>
      <c r="B16" s="106">
        <f t="shared" si="1"/>
        <v>10.3</v>
      </c>
    </row>
    <row r="17" spans="1:2" ht="12.75">
      <c r="A17" s="106">
        <v>130</v>
      </c>
      <c r="B17" s="106">
        <f t="shared" si="1"/>
        <v>10.2</v>
      </c>
    </row>
    <row r="18" spans="1:2" ht="12.75">
      <c r="A18" s="106">
        <v>140</v>
      </c>
      <c r="B18" s="106">
        <f t="shared" si="1"/>
        <v>10.1</v>
      </c>
    </row>
    <row r="19" spans="1:2" ht="12.75">
      <c r="A19" s="106">
        <v>150</v>
      </c>
      <c r="B19" s="106">
        <f t="shared" si="1"/>
        <v>10</v>
      </c>
    </row>
    <row r="20" spans="1:2" ht="12.75">
      <c r="A20" s="106">
        <v>160</v>
      </c>
      <c r="B20" s="106">
        <f t="shared" si="1"/>
        <v>9.9</v>
      </c>
    </row>
    <row r="21" spans="1:2" ht="12.75">
      <c r="A21" s="106">
        <v>170</v>
      </c>
      <c r="B21" s="106">
        <f t="shared" si="1"/>
        <v>9.8</v>
      </c>
    </row>
    <row r="22" spans="1:2" ht="12.75">
      <c r="A22" s="106">
        <v>180</v>
      </c>
      <c r="B22" s="106">
        <f t="shared" si="1"/>
        <v>9.7</v>
      </c>
    </row>
    <row r="23" spans="1:2" ht="12.75">
      <c r="A23" s="106">
        <v>190</v>
      </c>
      <c r="B23" s="106">
        <f t="shared" si="1"/>
        <v>9.6</v>
      </c>
    </row>
    <row r="24" spans="1:2" ht="12.75">
      <c r="A24" s="106">
        <v>200</v>
      </c>
      <c r="B24" s="106">
        <v>9.5</v>
      </c>
    </row>
    <row r="25" spans="1:2" ht="12.75">
      <c r="A25" s="106">
        <v>210</v>
      </c>
      <c r="B25" s="106">
        <f aca="true" t="shared" si="2" ref="B25:B33">B$24-(B$24-B$34)/(A$34-A$24)*(A25-A$24)</f>
        <v>9.35</v>
      </c>
    </row>
    <row r="26" spans="1:2" ht="12.75">
      <c r="A26" s="106">
        <v>220</v>
      </c>
      <c r="B26" s="106">
        <f t="shared" si="2"/>
        <v>9.2</v>
      </c>
    </row>
    <row r="27" spans="1:2" ht="12.75">
      <c r="A27" s="106">
        <v>230</v>
      </c>
      <c r="B27" s="106">
        <f t="shared" si="2"/>
        <v>9.05</v>
      </c>
    </row>
    <row r="28" spans="1:2" ht="12.75">
      <c r="A28" s="106">
        <v>240</v>
      </c>
      <c r="B28" s="106">
        <f t="shared" si="2"/>
        <v>8.9</v>
      </c>
    </row>
    <row r="29" spans="1:2" ht="12.75">
      <c r="A29" s="106">
        <v>250</v>
      </c>
      <c r="B29" s="106">
        <f t="shared" si="2"/>
        <v>8.75</v>
      </c>
    </row>
    <row r="30" spans="1:2" ht="12.75">
      <c r="A30" s="106">
        <v>260</v>
      </c>
      <c r="B30" s="106">
        <f t="shared" si="2"/>
        <v>8.6</v>
      </c>
    </row>
    <row r="31" spans="1:2" ht="12.75">
      <c r="A31" s="106">
        <v>270</v>
      </c>
      <c r="B31" s="106">
        <f t="shared" si="2"/>
        <v>8.45</v>
      </c>
    </row>
    <row r="32" spans="1:2" ht="12.75">
      <c r="A32" s="106">
        <v>280</v>
      </c>
      <c r="B32" s="106">
        <f t="shared" si="2"/>
        <v>8.3</v>
      </c>
    </row>
    <row r="33" spans="1:2" ht="12.75">
      <c r="A33" s="106">
        <v>290</v>
      </c>
      <c r="B33" s="106">
        <f t="shared" si="2"/>
        <v>8.15</v>
      </c>
    </row>
    <row r="34" spans="1:2" ht="12.75">
      <c r="A34" s="106">
        <v>300</v>
      </c>
      <c r="B34" s="106">
        <v>8</v>
      </c>
    </row>
    <row r="35" spans="1:2" ht="12.75">
      <c r="A35" s="106">
        <v>310</v>
      </c>
      <c r="B35" s="106">
        <f aca="true" t="shared" si="3" ref="B35:B43">B$34-(B$34-B$44)/(A$44-A$34)*(A35-A$34)</f>
        <v>7.8</v>
      </c>
    </row>
    <row r="36" spans="1:2" ht="12.75">
      <c r="A36" s="106">
        <v>320</v>
      </c>
      <c r="B36" s="106">
        <f t="shared" si="3"/>
        <v>7.6</v>
      </c>
    </row>
    <row r="37" spans="1:2" ht="12.75">
      <c r="A37" s="106">
        <v>330</v>
      </c>
      <c r="B37" s="106">
        <f t="shared" si="3"/>
        <v>7.4</v>
      </c>
    </row>
    <row r="38" spans="1:2" ht="12.75">
      <c r="A38" s="106">
        <v>340</v>
      </c>
      <c r="B38" s="106">
        <f t="shared" si="3"/>
        <v>7.2</v>
      </c>
    </row>
    <row r="39" spans="1:2" ht="12.75">
      <c r="A39" s="106">
        <v>350</v>
      </c>
      <c r="B39" s="106">
        <f t="shared" si="3"/>
        <v>7</v>
      </c>
    </row>
    <row r="40" spans="1:2" ht="12.75">
      <c r="A40" s="106">
        <v>360</v>
      </c>
      <c r="B40" s="106">
        <f t="shared" si="3"/>
        <v>6.8</v>
      </c>
    </row>
    <row r="41" spans="1:2" ht="12.75">
      <c r="A41" s="106">
        <v>370</v>
      </c>
      <c r="B41" s="106">
        <f t="shared" si="3"/>
        <v>6.6</v>
      </c>
    </row>
    <row r="42" spans="1:2" ht="12.75">
      <c r="A42" s="106">
        <v>380</v>
      </c>
      <c r="B42" s="106">
        <f t="shared" si="3"/>
        <v>6.4</v>
      </c>
    </row>
    <row r="43" spans="1:2" ht="12.75">
      <c r="A43" s="106">
        <v>390</v>
      </c>
      <c r="B43" s="106">
        <f t="shared" si="3"/>
        <v>6.2</v>
      </c>
    </row>
    <row r="44" spans="1:2" ht="12.75">
      <c r="A44" s="106">
        <v>400</v>
      </c>
      <c r="B44" s="106">
        <v>6</v>
      </c>
    </row>
    <row r="45" spans="1:2" ht="12.75">
      <c r="A45" s="106">
        <v>410</v>
      </c>
      <c r="B45" s="106">
        <f aca="true" t="shared" si="4" ref="B45:B53">B$44-(B$44-B$54)/(A$54-A$44)*(A45-A$44)</f>
        <v>5.73</v>
      </c>
    </row>
    <row r="46" spans="1:2" ht="12.75">
      <c r="A46" s="106">
        <v>420</v>
      </c>
      <c r="B46" s="106">
        <f t="shared" si="4"/>
        <v>5.46</v>
      </c>
    </row>
    <row r="47" spans="1:2" ht="12.75">
      <c r="A47" s="106">
        <v>430</v>
      </c>
      <c r="B47" s="106">
        <f t="shared" si="4"/>
        <v>5.1899999999999995</v>
      </c>
    </row>
    <row r="48" spans="1:2" ht="12.75">
      <c r="A48" s="106">
        <v>440</v>
      </c>
      <c r="B48" s="106">
        <f t="shared" si="4"/>
        <v>4.92</v>
      </c>
    </row>
    <row r="49" spans="1:2" ht="12.75">
      <c r="A49" s="106">
        <v>450</v>
      </c>
      <c r="B49" s="106">
        <f t="shared" si="4"/>
        <v>4.65</v>
      </c>
    </row>
    <row r="50" spans="1:2" ht="12.75">
      <c r="A50" s="106">
        <v>460</v>
      </c>
      <c r="B50" s="106">
        <f t="shared" si="4"/>
        <v>4.38</v>
      </c>
    </row>
    <row r="51" spans="1:2" ht="12.75">
      <c r="A51" s="106">
        <v>470</v>
      </c>
      <c r="B51" s="106">
        <f t="shared" si="4"/>
        <v>4.109999999999999</v>
      </c>
    </row>
    <row r="52" spans="1:2" ht="12.75">
      <c r="A52" s="106">
        <v>480</v>
      </c>
      <c r="B52" s="106">
        <f t="shared" si="4"/>
        <v>3.84</v>
      </c>
    </row>
    <row r="53" spans="1:2" ht="12.75">
      <c r="A53" s="106">
        <v>490</v>
      </c>
      <c r="B53" s="106">
        <f t="shared" si="4"/>
        <v>3.57</v>
      </c>
    </row>
    <row r="54" spans="1:2" ht="12.75">
      <c r="A54" s="106">
        <v>500</v>
      </c>
      <c r="B54" s="106">
        <v>3.3</v>
      </c>
    </row>
    <row r="55" spans="1:2" ht="12.75">
      <c r="A55" s="106">
        <v>510</v>
      </c>
      <c r="B55" s="106">
        <f>B$54-(B$54-B$57)/(A$57-A$54)*(A55-A$54)</f>
        <v>2.8666666666666667</v>
      </c>
    </row>
    <row r="56" spans="1:2" ht="12.75">
      <c r="A56" s="106">
        <v>520</v>
      </c>
      <c r="B56" s="106">
        <f>B$54-(B$54-B$57)/(A$57-A$54)*(A56-A$54)</f>
        <v>2.433333333333333</v>
      </c>
    </row>
    <row r="57" spans="1:2" ht="12.75">
      <c r="A57" s="106">
        <v>530</v>
      </c>
      <c r="B57" s="106">
        <v>2</v>
      </c>
    </row>
    <row r="58" spans="1:2" ht="12.75">
      <c r="A58" s="106">
        <v>540</v>
      </c>
      <c r="B58" s="106"/>
    </row>
    <row r="59" spans="1:2" ht="12.75">
      <c r="A59" s="106">
        <v>550</v>
      </c>
      <c r="B59" s="106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M6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65" customWidth="1"/>
    <col min="2" max="2" width="34.421875" style="64" customWidth="1"/>
    <col min="3" max="3" width="6.8515625" style="64" customWidth="1"/>
    <col min="4" max="4" width="7.421875" style="65" customWidth="1"/>
    <col min="5" max="6" width="7.28125" style="65" customWidth="1"/>
    <col min="7" max="7" width="8.8515625" style="65" customWidth="1"/>
    <col min="8" max="8" width="6.57421875" style="64" customWidth="1"/>
    <col min="9" max="9" width="8.421875" style="64" customWidth="1"/>
    <col min="10" max="10" width="6.7109375" style="64" customWidth="1"/>
    <col min="11" max="11" width="6.140625" style="64" customWidth="1"/>
    <col min="12" max="12" width="7.8515625" style="64" customWidth="1"/>
    <col min="13" max="13" width="6.140625" style="66" customWidth="1"/>
    <col min="14" max="16384" width="10.7109375" style="65" customWidth="1"/>
  </cols>
  <sheetData>
    <row r="1" s="75" customFormat="1" ht="15.75"/>
    <row r="2" s="75" customFormat="1" ht="15.75"/>
    <row r="3" ht="16.5" thickBot="1"/>
    <row r="4" spans="2:13" ht="16.5" customHeight="1" thickBot="1">
      <c r="B4" s="35" t="s">
        <v>12</v>
      </c>
      <c r="C4" s="35"/>
      <c r="E4" s="67"/>
      <c r="H4" s="85" t="s">
        <v>76</v>
      </c>
      <c r="I4" s="86" t="s">
        <v>77</v>
      </c>
      <c r="J4" s="86" t="s">
        <v>78</v>
      </c>
      <c r="K4" s="87" t="s">
        <v>26</v>
      </c>
      <c r="L4" s="86" t="s">
        <v>27</v>
      </c>
      <c r="M4" s="88" t="s">
        <v>79</v>
      </c>
    </row>
    <row r="5" spans="2:13" ht="13.5" customHeight="1">
      <c r="B5" s="37" t="s">
        <v>13</v>
      </c>
      <c r="C5" s="37">
        <v>20</v>
      </c>
      <c r="E5" s="67"/>
      <c r="H5" s="89">
        <v>0</v>
      </c>
      <c r="I5" s="89">
        <f aca="true" t="shared" si="0" ref="I5:I36">(C$12-C$9)+(C$14^2-C$11^2)/2/9.81+(C$13-C$10)/C$6*10000+J5</f>
        <v>70</v>
      </c>
      <c r="J5" s="89">
        <f aca="true" t="shared" si="1" ref="J5:J36">K5*(C$8+D$34)/C$6*1000*M5^2/2/9.81</f>
        <v>0</v>
      </c>
      <c r="K5" s="89"/>
      <c r="L5" s="89">
        <f aca="true" t="shared" si="2" ref="L5:L36">M5*C$6*C$5/1000/C$7*1000</f>
        <v>0</v>
      </c>
      <c r="M5" s="90">
        <f aca="true" t="shared" si="3" ref="M5:M36">4*H5/60000/3.14/(C$5/1000)^2</f>
        <v>0</v>
      </c>
    </row>
    <row r="6" spans="2:13" ht="13.5" customHeight="1">
      <c r="B6" s="37" t="s">
        <v>31</v>
      </c>
      <c r="C6" s="37">
        <v>1000</v>
      </c>
      <c r="E6" s="67"/>
      <c r="H6" s="89">
        <v>10</v>
      </c>
      <c r="I6" s="89">
        <f t="shared" si="0"/>
        <v>70.02941638672417</v>
      </c>
      <c r="J6" s="89">
        <f t="shared" si="1"/>
        <v>0.029416386724165047</v>
      </c>
      <c r="K6" s="89">
        <f aca="true" t="shared" si="4" ref="K6:K37">0.316/L6^0.25</f>
        <v>0.04097133564785451</v>
      </c>
      <c r="L6" s="89">
        <f t="shared" si="2"/>
        <v>3538.5704175513088</v>
      </c>
      <c r="M6" s="90">
        <f t="shared" si="3"/>
        <v>0.5307855626326963</v>
      </c>
    </row>
    <row r="7" spans="2:13" ht="13.5" customHeight="1">
      <c r="B7" s="37" t="s">
        <v>16</v>
      </c>
      <c r="C7" s="37">
        <v>3</v>
      </c>
      <c r="E7" s="67"/>
      <c r="H7" s="89">
        <v>20</v>
      </c>
      <c r="I7" s="89">
        <f t="shared" si="0"/>
        <v>70.09894453658427</v>
      </c>
      <c r="J7" s="89">
        <f t="shared" si="1"/>
        <v>0.0989445365842694</v>
      </c>
      <c r="K7" s="89">
        <f t="shared" si="4"/>
        <v>0.034452649274437586</v>
      </c>
      <c r="L7" s="89">
        <f t="shared" si="2"/>
        <v>7077.1408351026175</v>
      </c>
      <c r="M7" s="90">
        <f t="shared" si="3"/>
        <v>1.0615711252653925</v>
      </c>
    </row>
    <row r="8" spans="2:13" ht="13.5" customHeight="1">
      <c r="B8" s="37" t="s">
        <v>17</v>
      </c>
      <c r="C8" s="37">
        <v>50</v>
      </c>
      <c r="E8" s="67"/>
      <c r="H8" s="89">
        <v>30</v>
      </c>
      <c r="I8" s="89">
        <f t="shared" si="0"/>
        <v>70.20116458338353</v>
      </c>
      <c r="J8" s="89">
        <f t="shared" si="1"/>
        <v>0.2011645833835353</v>
      </c>
      <c r="K8" s="89">
        <f t="shared" si="4"/>
        <v>0.031131482914049075</v>
      </c>
      <c r="L8" s="89">
        <f t="shared" si="2"/>
        <v>10615.711252653928</v>
      </c>
      <c r="M8" s="90">
        <f t="shared" si="3"/>
        <v>1.592356687898089</v>
      </c>
    </row>
    <row r="9" spans="2:13" ht="13.5" customHeight="1">
      <c r="B9" s="37" t="s">
        <v>80</v>
      </c>
      <c r="C9" s="37">
        <v>10</v>
      </c>
      <c r="E9" s="67"/>
      <c r="H9" s="89">
        <v>40</v>
      </c>
      <c r="I9" s="89">
        <f t="shared" si="0"/>
        <v>70.33280842449061</v>
      </c>
      <c r="J9" s="89">
        <f t="shared" si="1"/>
        <v>0.33280842449060855</v>
      </c>
      <c r="K9" s="89">
        <f t="shared" si="4"/>
        <v>0.028971109270868056</v>
      </c>
      <c r="L9" s="89">
        <f t="shared" si="2"/>
        <v>14154.281670205235</v>
      </c>
      <c r="M9" s="90">
        <f t="shared" si="3"/>
        <v>2.123142250530785</v>
      </c>
    </row>
    <row r="10" spans="2:13" ht="13.5" customHeight="1">
      <c r="B10" s="37" t="s">
        <v>81</v>
      </c>
      <c r="C10" s="37">
        <v>2</v>
      </c>
      <c r="E10" s="68"/>
      <c r="H10" s="89">
        <v>50</v>
      </c>
      <c r="I10" s="89">
        <f t="shared" si="0"/>
        <v>70.49179808573057</v>
      </c>
      <c r="J10" s="89">
        <f t="shared" si="1"/>
        <v>0.491798085730563</v>
      </c>
      <c r="K10" s="89">
        <f t="shared" si="4"/>
        <v>0.027399183496437586</v>
      </c>
      <c r="L10" s="89">
        <f t="shared" si="2"/>
        <v>17692.852087756546</v>
      </c>
      <c r="M10" s="90">
        <f t="shared" si="3"/>
        <v>2.653927813163482</v>
      </c>
    </row>
    <row r="11" spans="2:13" ht="13.5" customHeight="1">
      <c r="B11" s="37" t="s">
        <v>82</v>
      </c>
      <c r="C11" s="37">
        <v>0</v>
      </c>
      <c r="E11" s="67"/>
      <c r="H11" s="89">
        <v>60</v>
      </c>
      <c r="I11" s="89">
        <f t="shared" si="0"/>
        <v>70.6766343081729</v>
      </c>
      <c r="J11" s="89">
        <f t="shared" si="1"/>
        <v>0.6766343081728871</v>
      </c>
      <c r="K11" s="89">
        <f t="shared" si="4"/>
        <v>0.02617835238395613</v>
      </c>
      <c r="L11" s="89">
        <f t="shared" si="2"/>
        <v>21231.422505307855</v>
      </c>
      <c r="M11" s="90">
        <f t="shared" si="3"/>
        <v>3.184713375796178</v>
      </c>
    </row>
    <row r="12" spans="2:13" ht="13.5" customHeight="1">
      <c r="B12" s="37" t="s">
        <v>83</v>
      </c>
      <c r="C12" s="37">
        <v>50</v>
      </c>
      <c r="E12" s="67"/>
      <c r="H12" s="89">
        <v>70</v>
      </c>
      <c r="I12" s="89">
        <f t="shared" si="0"/>
        <v>70.88615745697183</v>
      </c>
      <c r="J12" s="89">
        <f t="shared" si="1"/>
        <v>0.8861574569718271</v>
      </c>
      <c r="K12" s="89">
        <f t="shared" si="4"/>
        <v>0.025188691766890772</v>
      </c>
      <c r="L12" s="89">
        <f t="shared" si="2"/>
        <v>24769.992922859165</v>
      </c>
      <c r="M12" s="90">
        <f t="shared" si="3"/>
        <v>3.715498938428875</v>
      </c>
    </row>
    <row r="13" spans="2:13" ht="13.5" customHeight="1">
      <c r="B13" s="37" t="s">
        <v>84</v>
      </c>
      <c r="C13" s="37">
        <v>5</v>
      </c>
      <c r="E13" s="67"/>
      <c r="H13" s="89">
        <v>80</v>
      </c>
      <c r="I13" s="89">
        <f t="shared" si="0"/>
        <v>71.11942964448156</v>
      </c>
      <c r="J13" s="89">
        <f t="shared" si="1"/>
        <v>1.119429644481557</v>
      </c>
      <c r="K13" s="89">
        <f t="shared" si="4"/>
        <v>0.0243617019317966</v>
      </c>
      <c r="L13" s="89">
        <f t="shared" si="2"/>
        <v>28308.56334041047</v>
      </c>
      <c r="M13" s="90">
        <f t="shared" si="3"/>
        <v>4.24628450106157</v>
      </c>
    </row>
    <row r="14" spans="2:13" ht="13.5" customHeight="1">
      <c r="B14" s="37" t="s">
        <v>85</v>
      </c>
      <c r="C14" s="37">
        <v>0</v>
      </c>
      <c r="E14" s="67"/>
      <c r="H14" s="89">
        <v>90</v>
      </c>
      <c r="I14" s="89">
        <f t="shared" si="0"/>
        <v>71.37566826229641</v>
      </c>
      <c r="J14" s="89">
        <f t="shared" si="1"/>
        <v>1.3756682622964096</v>
      </c>
      <c r="K14" s="89">
        <f t="shared" si="4"/>
        <v>0.02365481166534732</v>
      </c>
      <c r="L14" s="89">
        <f t="shared" si="2"/>
        <v>31847.133757961776</v>
      </c>
      <c r="M14" s="90">
        <f t="shared" si="3"/>
        <v>4.777070063694267</v>
      </c>
    </row>
    <row r="15" spans="2:13" ht="13.5" customHeight="1">
      <c r="B15" s="67"/>
      <c r="C15" s="67"/>
      <c r="E15" s="68"/>
      <c r="H15" s="89">
        <v>100</v>
      </c>
      <c r="I15" s="89">
        <f t="shared" si="0"/>
        <v>71.65420498927787</v>
      </c>
      <c r="J15" s="89">
        <f t="shared" si="1"/>
        <v>1.6542049892778772</v>
      </c>
      <c r="K15" s="89">
        <f t="shared" si="4"/>
        <v>0.0230398751830331</v>
      </c>
      <c r="L15" s="89">
        <f t="shared" si="2"/>
        <v>35385.70417551309</v>
      </c>
      <c r="M15" s="90">
        <f t="shared" si="3"/>
        <v>5.307855626326964</v>
      </c>
    </row>
    <row r="16" spans="5:13" ht="15.75">
      <c r="E16" s="67"/>
      <c r="H16" s="89">
        <v>110</v>
      </c>
      <c r="I16" s="89">
        <f t="shared" si="0"/>
        <v>71.95445882460145</v>
      </c>
      <c r="J16" s="89">
        <f t="shared" si="1"/>
        <v>1.9544588246014416</v>
      </c>
      <c r="K16" s="89">
        <f t="shared" si="4"/>
        <v>0.0224973803481044</v>
      </c>
      <c r="L16" s="89">
        <f t="shared" si="2"/>
        <v>38924.274593064394</v>
      </c>
      <c r="M16" s="90">
        <f t="shared" si="3"/>
        <v>5.8386411889596594</v>
      </c>
    </row>
    <row r="17" spans="5:13" ht="16.5" thickBot="1">
      <c r="E17" s="68"/>
      <c r="H17" s="89">
        <v>120</v>
      </c>
      <c r="I17" s="89">
        <f t="shared" si="0"/>
        <v>72.27591745672103</v>
      </c>
      <c r="J17" s="89">
        <f t="shared" si="1"/>
        <v>2.2759174567210314</v>
      </c>
      <c r="K17" s="89">
        <f t="shared" si="4"/>
        <v>0.02201328267691724</v>
      </c>
      <c r="L17" s="89">
        <f t="shared" si="2"/>
        <v>42462.84501061571</v>
      </c>
      <c r="M17" s="90">
        <f t="shared" si="3"/>
        <v>6.369426751592356</v>
      </c>
    </row>
    <row r="18" spans="2:13" ht="16.5" thickBot="1">
      <c r="B18" s="35" t="s">
        <v>33</v>
      </c>
      <c r="C18" s="35"/>
      <c r="D18" s="35"/>
      <c r="E18" s="68"/>
      <c r="H18" s="89">
        <v>130</v>
      </c>
      <c r="I18" s="89">
        <f t="shared" si="0"/>
        <v>72.6181238859813</v>
      </c>
      <c r="J18" s="89">
        <f t="shared" si="1"/>
        <v>2.6181238859813116</v>
      </c>
      <c r="K18" s="89">
        <f t="shared" si="4"/>
        <v>0.021577160096233686</v>
      </c>
      <c r="L18" s="89">
        <f t="shared" si="2"/>
        <v>46001.41542816701</v>
      </c>
      <c r="M18" s="90">
        <f t="shared" si="3"/>
        <v>6.900212314225052</v>
      </c>
    </row>
    <row r="19" spans="2:13" ht="18.75" customHeight="1" thickBot="1">
      <c r="B19" s="35" t="s">
        <v>34</v>
      </c>
      <c r="C19" s="35" t="s">
        <v>86</v>
      </c>
      <c r="D19" s="35" t="s">
        <v>35</v>
      </c>
      <c r="H19" s="89">
        <v>140</v>
      </c>
      <c r="I19" s="89">
        <f t="shared" si="0"/>
        <v>72.98066651567183</v>
      </c>
      <c r="J19" s="89">
        <f t="shared" si="1"/>
        <v>2.980666515671829</v>
      </c>
      <c r="K19" s="89">
        <f t="shared" si="4"/>
        <v>0.021181080611709202</v>
      </c>
      <c r="L19" s="89">
        <f t="shared" si="2"/>
        <v>49539.98584571833</v>
      </c>
      <c r="M19" s="90">
        <f t="shared" si="3"/>
        <v>7.43099787685775</v>
      </c>
    </row>
    <row r="20" spans="2:13" ht="13.5" customHeight="1">
      <c r="B20" s="37" t="s">
        <v>36</v>
      </c>
      <c r="C20" s="37"/>
      <c r="D20" s="37">
        <f>900*C20*C5/1000</f>
        <v>0</v>
      </c>
      <c r="H20" s="89">
        <v>150</v>
      </c>
      <c r="I20" s="89">
        <f t="shared" si="0"/>
        <v>73.36317162105901</v>
      </c>
      <c r="J20" s="89">
        <f t="shared" si="1"/>
        <v>3.363171621059005</v>
      </c>
      <c r="K20" s="89">
        <f t="shared" si="4"/>
        <v>0.020818877378309442</v>
      </c>
      <c r="L20" s="89">
        <f t="shared" si="2"/>
        <v>53078.55626326963</v>
      </c>
      <c r="M20" s="90">
        <f t="shared" si="3"/>
        <v>7.9617834394904445</v>
      </c>
    </row>
    <row r="21" spans="2:13" ht="13.5" customHeight="1">
      <c r="B21" s="37" t="s">
        <v>37</v>
      </c>
      <c r="C21" s="37"/>
      <c r="D21" s="37">
        <f>420*C21*C5/1000</f>
        <v>0</v>
      </c>
      <c r="H21" s="89">
        <v>160</v>
      </c>
      <c r="I21" s="89">
        <f t="shared" si="0"/>
        <v>73.76529750069312</v>
      </c>
      <c r="J21" s="89">
        <f t="shared" si="1"/>
        <v>3.765297500693126</v>
      </c>
      <c r="K21" s="89">
        <f t="shared" si="4"/>
        <v>0.020485667823927252</v>
      </c>
      <c r="L21" s="89">
        <f t="shared" si="2"/>
        <v>56617.12668082094</v>
      </c>
      <c r="M21" s="90">
        <f t="shared" si="3"/>
        <v>8.49256900212314</v>
      </c>
    </row>
    <row r="22" spans="2:13" ht="13.5" customHeight="1">
      <c r="B22" s="37" t="s">
        <v>38</v>
      </c>
      <c r="C22" s="37"/>
      <c r="D22" s="37">
        <f>400*C22*C5/1000</f>
        <v>0</v>
      </c>
      <c r="H22" s="89">
        <v>170</v>
      </c>
      <c r="I22" s="89">
        <f t="shared" si="0"/>
        <v>74.18672984974336</v>
      </c>
      <c r="J22" s="89">
        <f t="shared" si="1"/>
        <v>4.186729849743361</v>
      </c>
      <c r="K22" s="89">
        <f t="shared" si="4"/>
        <v>0.020177524887508944</v>
      </c>
      <c r="L22" s="89">
        <f t="shared" si="2"/>
        <v>60155.69709837225</v>
      </c>
      <c r="M22" s="90">
        <f t="shared" si="3"/>
        <v>9.023354564755838</v>
      </c>
    </row>
    <row r="23" spans="2:13" ht="13.5" customHeight="1">
      <c r="B23" s="37" t="s">
        <v>39</v>
      </c>
      <c r="C23" s="37"/>
      <c r="D23" s="37">
        <f>200*C23*C5/1000</f>
        <v>0</v>
      </c>
      <c r="H23" s="89">
        <v>180</v>
      </c>
      <c r="I23" s="89">
        <f t="shared" si="0"/>
        <v>74.62717804137343</v>
      </c>
      <c r="J23" s="89">
        <f t="shared" si="1"/>
        <v>4.62717804137343</v>
      </c>
      <c r="K23" s="89">
        <f t="shared" si="4"/>
        <v>0.01989124633289231</v>
      </c>
      <c r="L23" s="89">
        <f t="shared" si="2"/>
        <v>63694.26751592355</v>
      </c>
      <c r="M23" s="90">
        <f t="shared" si="3"/>
        <v>9.554140127388534</v>
      </c>
    </row>
    <row r="24" spans="2:13" ht="13.5" customHeight="1">
      <c r="B24" s="37" t="s">
        <v>40</v>
      </c>
      <c r="C24" s="37"/>
      <c r="D24" s="37">
        <f>160*C24*C5/1000</f>
        <v>0</v>
      </c>
      <c r="H24" s="89">
        <v>190</v>
      </c>
      <c r="I24" s="89">
        <f t="shared" si="0"/>
        <v>75.08637209621722</v>
      </c>
      <c r="J24" s="89">
        <f t="shared" si="1"/>
        <v>5.086372096217212</v>
      </c>
      <c r="K24" s="89">
        <f t="shared" si="4"/>
        <v>0.019624189174518445</v>
      </c>
      <c r="L24" s="89">
        <f t="shared" si="2"/>
        <v>67232.83793347489</v>
      </c>
      <c r="M24" s="90">
        <f t="shared" si="3"/>
        <v>10.084925690021231</v>
      </c>
    </row>
    <row r="25" spans="2:13" ht="13.5" customHeight="1">
      <c r="B25" s="37" t="s">
        <v>41</v>
      </c>
      <c r="C25" s="37"/>
      <c r="D25" s="37">
        <f>150*C25*C5/1000</f>
        <v>0</v>
      </c>
      <c r="H25" s="89">
        <v>200</v>
      </c>
      <c r="I25" s="89">
        <f t="shared" si="0"/>
        <v>75.56406018231431</v>
      </c>
      <c r="J25" s="89">
        <f t="shared" si="1"/>
        <v>5.564060182314305</v>
      </c>
      <c r="K25" s="89">
        <f t="shared" si="4"/>
        <v>0.019374148449305552</v>
      </c>
      <c r="L25" s="89">
        <f t="shared" si="2"/>
        <v>70771.40835102618</v>
      </c>
      <c r="M25" s="90">
        <f t="shared" si="3"/>
        <v>10.615711252653927</v>
      </c>
    </row>
    <row r="26" spans="2:13" ht="13.5" customHeight="1">
      <c r="B26" s="37" t="s">
        <v>42</v>
      </c>
      <c r="C26" s="37"/>
      <c r="D26" s="37">
        <f>100*C26*C5/1000</f>
        <v>0</v>
      </c>
      <c r="H26" s="89">
        <v>210</v>
      </c>
      <c r="I26" s="89">
        <f t="shared" si="0"/>
        <v>76.06000653022113</v>
      </c>
      <c r="J26" s="89">
        <f t="shared" si="1"/>
        <v>6.060006530221138</v>
      </c>
      <c r="K26" s="89">
        <f t="shared" si="4"/>
        <v>0.01913926687936207</v>
      </c>
      <c r="L26" s="89">
        <f t="shared" si="2"/>
        <v>74309.97876857748</v>
      </c>
      <c r="M26" s="90">
        <f t="shared" si="3"/>
        <v>11.146496815286623</v>
      </c>
    </row>
    <row r="27" spans="2:13" ht="13.5" customHeight="1">
      <c r="B27" s="37" t="s">
        <v>43</v>
      </c>
      <c r="C27" s="37"/>
      <c r="D27" s="37">
        <f>50*C27*C5/1000</f>
        <v>0</v>
      </c>
      <c r="H27" s="89">
        <v>220</v>
      </c>
      <c r="I27" s="89">
        <f t="shared" si="0"/>
        <v>76.57398967747336</v>
      </c>
      <c r="J27" s="89">
        <f t="shared" si="1"/>
        <v>6.573989677473362</v>
      </c>
      <c r="K27" s="89">
        <f t="shared" si="4"/>
        <v>0.018917966487320352</v>
      </c>
      <c r="L27" s="89">
        <f t="shared" si="2"/>
        <v>77848.54918612879</v>
      </c>
      <c r="M27" s="90">
        <f t="shared" si="3"/>
        <v>11.677282377919319</v>
      </c>
    </row>
    <row r="28" spans="2:13" ht="13.5" customHeight="1">
      <c r="B28" s="37" t="s">
        <v>44</v>
      </c>
      <c r="C28" s="37"/>
      <c r="D28" s="37">
        <f>35*C28*C5/1000</f>
        <v>0</v>
      </c>
      <c r="H28" s="89">
        <v>230</v>
      </c>
      <c r="I28" s="89">
        <f t="shared" si="0"/>
        <v>77.10580097748489</v>
      </c>
      <c r="J28" s="89">
        <f t="shared" si="1"/>
        <v>7.105800977484887</v>
      </c>
      <c r="K28" s="89">
        <f t="shared" si="4"/>
        <v>0.018708896093736972</v>
      </c>
      <c r="L28" s="89">
        <f t="shared" si="2"/>
        <v>81387.11960368013</v>
      </c>
      <c r="M28" s="90">
        <f t="shared" si="3"/>
        <v>12.208067940552016</v>
      </c>
    </row>
    <row r="29" spans="2:13" ht="13.5" customHeight="1">
      <c r="B29" s="37" t="s">
        <v>45</v>
      </c>
      <c r="C29" s="37"/>
      <c r="D29" s="37">
        <f>20*C29*C5/1000</f>
        <v>0</v>
      </c>
      <c r="H29" s="89">
        <v>240</v>
      </c>
      <c r="I29" s="89">
        <f t="shared" si="0"/>
        <v>77.65524332308027</v>
      </c>
      <c r="J29" s="89">
        <f t="shared" si="1"/>
        <v>7.655243323080266</v>
      </c>
      <c r="K29" s="89">
        <f t="shared" si="4"/>
        <v>0.018510890490986403</v>
      </c>
      <c r="L29" s="89">
        <f t="shared" si="2"/>
        <v>84925.69002123142</v>
      </c>
      <c r="M29" s="90">
        <f t="shared" si="3"/>
        <v>12.738853503184712</v>
      </c>
    </row>
    <row r="30" spans="2:13" ht="13.5" customHeight="1">
      <c r="B30" s="37" t="s">
        <v>46</v>
      </c>
      <c r="C30" s="37"/>
      <c r="D30" s="37">
        <f>30*C30*C5/1000</f>
        <v>0</v>
      </c>
      <c r="H30" s="89">
        <v>250</v>
      </c>
      <c r="I30" s="89">
        <f t="shared" si="0"/>
        <v>78.22213004595693</v>
      </c>
      <c r="J30" s="89">
        <f t="shared" si="1"/>
        <v>8.222130045956927</v>
      </c>
      <c r="K30" s="89">
        <f t="shared" si="4"/>
        <v>0.018322938327512615</v>
      </c>
      <c r="L30" s="89">
        <f t="shared" si="2"/>
        <v>88464.26043878273</v>
      </c>
      <c r="M30" s="90">
        <f t="shared" si="3"/>
        <v>13.269639065817408</v>
      </c>
    </row>
    <row r="31" spans="2:13" ht="13.5" customHeight="1">
      <c r="B31" s="37" t="s">
        <v>47</v>
      </c>
      <c r="C31" s="37"/>
      <c r="D31" s="37">
        <f>20*C31*C5/1000</f>
        <v>0</v>
      </c>
      <c r="H31" s="89">
        <v>260</v>
      </c>
      <c r="I31" s="89">
        <f t="shared" si="0"/>
        <v>78.80628396164724</v>
      </c>
      <c r="J31" s="89">
        <f t="shared" si="1"/>
        <v>8.806283961647239</v>
      </c>
      <c r="K31" s="89">
        <f t="shared" si="4"/>
        <v>0.018144156576278398</v>
      </c>
      <c r="L31" s="89">
        <f t="shared" si="2"/>
        <v>92002.83085633403</v>
      </c>
      <c r="M31" s="90">
        <f t="shared" si="3"/>
        <v>13.800424628450104</v>
      </c>
    </row>
    <row r="32" spans="2:13" ht="13.5" customHeight="1">
      <c r="B32" s="37" t="s">
        <v>48</v>
      </c>
      <c r="C32" s="37"/>
      <c r="D32" s="37">
        <f>20*C32*C5/1000</f>
        <v>0</v>
      </c>
      <c r="H32" s="89">
        <v>270</v>
      </c>
      <c r="I32" s="89">
        <f t="shared" si="0"/>
        <v>79.40753653580015</v>
      </c>
      <c r="J32" s="89">
        <f t="shared" si="1"/>
        <v>9.407536535800142</v>
      </c>
      <c r="K32" s="89">
        <f t="shared" si="4"/>
        <v>0.017973770040698465</v>
      </c>
      <c r="L32" s="89">
        <f t="shared" si="2"/>
        <v>95541.40127388535</v>
      </c>
      <c r="M32" s="90">
        <f t="shared" si="3"/>
        <v>14.331210191082802</v>
      </c>
    </row>
    <row r="33" spans="2:13" ht="13.5" customHeight="1" thickBot="1">
      <c r="B33" s="37" t="s">
        <v>49</v>
      </c>
      <c r="C33" s="37"/>
      <c r="D33" s="37">
        <f>20*C33*C5/1000</f>
        <v>0</v>
      </c>
      <c r="H33" s="89">
        <v>280</v>
      </c>
      <c r="I33" s="89">
        <f t="shared" si="0"/>
        <v>80.02572715238088</v>
      </c>
      <c r="J33" s="89">
        <f t="shared" si="1"/>
        <v>10.025727152380881</v>
      </c>
      <c r="K33" s="89">
        <f t="shared" si="4"/>
        <v>0.01781109475758622</v>
      </c>
      <c r="L33" s="89">
        <f t="shared" si="2"/>
        <v>99079.97169143666</v>
      </c>
      <c r="M33" s="90">
        <f t="shared" si="3"/>
        <v>14.8619957537155</v>
      </c>
    </row>
    <row r="34" spans="2:13" ht="16.5" thickBot="1">
      <c r="B34" s="35" t="s">
        <v>50</v>
      </c>
      <c r="C34" s="35"/>
      <c r="D34" s="35">
        <f>SUM(D20:D33)</f>
        <v>0</v>
      </c>
      <c r="H34" s="89">
        <v>290</v>
      </c>
      <c r="I34" s="89">
        <f t="shared" si="0"/>
        <v>80.66070246808212</v>
      </c>
      <c r="J34" s="89">
        <f t="shared" si="1"/>
        <v>10.660702468082128</v>
      </c>
      <c r="K34" s="89">
        <f t="shared" si="4"/>
        <v>0.017655524445706297</v>
      </c>
      <c r="L34" s="89">
        <f t="shared" si="2"/>
        <v>102618.54210898797</v>
      </c>
      <c r="M34" s="90">
        <f t="shared" si="3"/>
        <v>15.392781316348195</v>
      </c>
    </row>
    <row r="35" spans="2:13" ht="19.5" customHeight="1">
      <c r="B35" s="65"/>
      <c r="C35" s="65"/>
      <c r="E35" s="67"/>
      <c r="F35" s="67"/>
      <c r="G35" s="67"/>
      <c r="H35" s="89">
        <v>300</v>
      </c>
      <c r="I35" s="89">
        <f t="shared" si="0"/>
        <v>81.31231584012617</v>
      </c>
      <c r="J35" s="89">
        <f t="shared" si="1"/>
        <v>11.31231584012617</v>
      </c>
      <c r="K35" s="89">
        <f t="shared" si="4"/>
        <v>0.01750651935702707</v>
      </c>
      <c r="L35" s="89">
        <f t="shared" si="2"/>
        <v>106157.11252653926</v>
      </c>
      <c r="M35" s="90">
        <f t="shared" si="3"/>
        <v>15.923566878980889</v>
      </c>
    </row>
    <row r="36" spans="8:13" ht="15.75">
      <c r="H36" s="89">
        <v>310</v>
      </c>
      <c r="I36" s="89">
        <f t="shared" si="0"/>
        <v>81.98042681691383</v>
      </c>
      <c r="J36" s="89">
        <f t="shared" si="1"/>
        <v>11.980426816913836</v>
      </c>
      <c r="K36" s="89">
        <f t="shared" si="4"/>
        <v>0.017363597040060963</v>
      </c>
      <c r="L36" s="89">
        <f t="shared" si="2"/>
        <v>109695.68294409059</v>
      </c>
      <c r="M36" s="90">
        <f t="shared" si="3"/>
        <v>16.454352441613587</v>
      </c>
    </row>
    <row r="37" spans="8:13" ht="15.75">
      <c r="H37" s="89">
        <v>320</v>
      </c>
      <c r="I37" s="89">
        <f aca="true" t="shared" si="5" ref="I37:I65">(C$12-C$9)+(C$14^2-C$11^2)/2/9.81+(C$13-C$10)/C$6*10000+J37</f>
        <v>82.66490068278648</v>
      </c>
      <c r="J37" s="89">
        <f aca="true" t="shared" si="6" ref="J37:J65">K37*(C$8+D$34)/C$6*1000*M37^2/2/9.81</f>
        <v>12.664900682786483</v>
      </c>
      <c r="K37" s="89">
        <f t="shared" si="4"/>
        <v>0.017226324637218793</v>
      </c>
      <c r="L37" s="89">
        <f aca="true" t="shared" si="7" ref="L37:L65">M37*C$6*C$5/1000/C$7*1000</f>
        <v>113234.25336164188</v>
      </c>
      <c r="M37" s="90">
        <f aca="true" t="shared" si="8" ref="M37:M65">4*H37/60000/3.14/(C$5/1000)^2</f>
        <v>16.98513800424628</v>
      </c>
    </row>
    <row r="38" spans="8:13" ht="15.75">
      <c r="H38" s="89">
        <v>330</v>
      </c>
      <c r="I38" s="89">
        <f t="shared" si="5"/>
        <v>83.36560804961958</v>
      </c>
      <c r="J38" s="89">
        <f t="shared" si="6"/>
        <v>13.36560804961958</v>
      </c>
      <c r="K38" s="89">
        <f aca="true" t="shared" si="9" ref="K38:K65">0.316/L38^0.25</f>
        <v>0.017094312422166573</v>
      </c>
      <c r="L38" s="89">
        <f t="shared" si="7"/>
        <v>116772.82377919318</v>
      </c>
      <c r="M38" s="90">
        <f t="shared" si="8"/>
        <v>17.51592356687898</v>
      </c>
    </row>
    <row r="39" spans="8:13" ht="15.75">
      <c r="H39" s="89">
        <v>340</v>
      </c>
      <c r="I39" s="89">
        <f t="shared" si="5"/>
        <v>84.08242448913965</v>
      </c>
      <c r="J39" s="89">
        <f t="shared" si="6"/>
        <v>14.08242448913966</v>
      </c>
      <c r="K39" s="89">
        <f t="shared" si="9"/>
        <v>0.01696720834659888</v>
      </c>
      <c r="L39" s="89">
        <f t="shared" si="7"/>
        <v>120311.3941967445</v>
      </c>
      <c r="M39" s="90">
        <f t="shared" si="8"/>
        <v>18.046709129511676</v>
      </c>
    </row>
    <row r="40" spans="8:13" ht="15.75">
      <c r="H40" s="89">
        <v>350</v>
      </c>
      <c r="I40" s="89">
        <f t="shared" si="5"/>
        <v>84.81523020081175</v>
      </c>
      <c r="J40" s="89">
        <f t="shared" si="6"/>
        <v>14.815230200811758</v>
      </c>
      <c r="K40" s="89">
        <f t="shared" si="9"/>
        <v>0.016844693414147627</v>
      </c>
      <c r="L40" s="89">
        <f t="shared" si="7"/>
        <v>123849.96461429581</v>
      </c>
      <c r="M40" s="90">
        <f t="shared" si="8"/>
        <v>18.577494692144374</v>
      </c>
    </row>
    <row r="41" spans="8:13" ht="15.75">
      <c r="H41" s="89">
        <v>360</v>
      </c>
      <c r="I41" s="89">
        <f t="shared" si="5"/>
        <v>85.56390971092648</v>
      </c>
      <c r="J41" s="89">
        <f t="shared" si="6"/>
        <v>15.563909710926481</v>
      </c>
      <c r="K41" s="89">
        <f t="shared" si="9"/>
        <v>0.016726477736257735</v>
      </c>
      <c r="L41" s="89">
        <f t="shared" si="7"/>
        <v>127388.5350318471</v>
      </c>
      <c r="M41" s="90">
        <f t="shared" si="8"/>
        <v>19.108280254777068</v>
      </c>
    </row>
    <row r="42" spans="8:13" ht="15.75">
      <c r="H42" s="89">
        <v>370</v>
      </c>
      <c r="I42" s="89">
        <f t="shared" si="5"/>
        <v>86.32835159916094</v>
      </c>
      <c r="J42" s="89">
        <f t="shared" si="6"/>
        <v>16.32835159916094</v>
      </c>
      <c r="K42" s="89">
        <f t="shared" si="9"/>
        <v>0.01661229715360997</v>
      </c>
      <c r="L42" s="89">
        <f t="shared" si="7"/>
        <v>130927.10544939846</v>
      </c>
      <c r="M42" s="90">
        <f t="shared" si="8"/>
        <v>19.639065817409765</v>
      </c>
    </row>
    <row r="43" spans="8:13" ht="15.75">
      <c r="H43" s="89">
        <v>380</v>
      </c>
      <c r="I43" s="89">
        <f t="shared" si="5"/>
        <v>87.1084482494223</v>
      </c>
      <c r="J43" s="89">
        <f t="shared" si="6"/>
        <v>17.1084482494223</v>
      </c>
      <c r="K43" s="89">
        <f t="shared" si="9"/>
        <v>0.01650191032911331</v>
      </c>
      <c r="L43" s="89">
        <f t="shared" si="7"/>
        <v>134465.67586694978</v>
      </c>
      <c r="M43" s="90">
        <f t="shared" si="8"/>
        <v>20.169851380042463</v>
      </c>
    </row>
    <row r="44" spans="8:13" ht="15.75">
      <c r="H44" s="89">
        <v>390</v>
      </c>
      <c r="I44" s="89">
        <f t="shared" si="5"/>
        <v>87.9040956222288</v>
      </c>
      <c r="J44" s="89">
        <f t="shared" si="6"/>
        <v>17.9040956222288</v>
      </c>
      <c r="K44" s="89">
        <f t="shared" si="9"/>
        <v>0.016395096236135907</v>
      </c>
      <c r="L44" s="89">
        <f t="shared" si="7"/>
        <v>138004.24628450105</v>
      </c>
      <c r="M44" s="90">
        <f t="shared" si="8"/>
        <v>20.700636942675157</v>
      </c>
    </row>
    <row r="45" spans="8:13" ht="15.75">
      <c r="H45" s="89">
        <v>400</v>
      </c>
      <c r="I45" s="89">
        <f t="shared" si="5"/>
        <v>88.71519304625612</v>
      </c>
      <c r="J45" s="89">
        <f t="shared" si="6"/>
        <v>18.715193046256115</v>
      </c>
      <c r="K45" s="89">
        <f t="shared" si="9"/>
        <v>0.016291651979614352</v>
      </c>
      <c r="L45" s="89">
        <f t="shared" si="7"/>
        <v>141542.81670205237</v>
      </c>
      <c r="M45" s="90">
        <f t="shared" si="8"/>
        <v>21.231422505307854</v>
      </c>
    </row>
    <row r="46" spans="8:13" ht="15.75">
      <c r="H46" s="89">
        <v>410</v>
      </c>
      <c r="I46" s="89">
        <f t="shared" si="5"/>
        <v>89.54164302699206</v>
      </c>
      <c r="J46" s="89">
        <f t="shared" si="6"/>
        <v>19.541643026992055</v>
      </c>
      <c r="K46" s="89">
        <f t="shared" si="9"/>
        <v>0.016191390898814235</v>
      </c>
      <c r="L46" s="89">
        <f t="shared" si="7"/>
        <v>145081.38711960366</v>
      </c>
      <c r="M46" s="90">
        <f t="shared" si="8"/>
        <v>21.762208067940552</v>
      </c>
    </row>
    <row r="47" spans="8:13" ht="15.75">
      <c r="H47" s="89">
        <v>420</v>
      </c>
      <c r="I47" s="89">
        <f t="shared" si="5"/>
        <v>90.38335107070822</v>
      </c>
      <c r="J47" s="89">
        <f t="shared" si="6"/>
        <v>20.383351070708223</v>
      </c>
      <c r="K47" s="89">
        <f t="shared" si="9"/>
        <v>0.016094140909439714</v>
      </c>
      <c r="L47" s="89">
        <f t="shared" si="7"/>
        <v>148619.95753715496</v>
      </c>
      <c r="M47" s="90">
        <f t="shared" si="8"/>
        <v>22.292993630573246</v>
      </c>
    </row>
    <row r="48" spans="8:13" ht="15.75">
      <c r="H48" s="89">
        <v>430</v>
      </c>
      <c r="I48" s="89">
        <f t="shared" si="5"/>
        <v>91.24022552218382</v>
      </c>
      <c r="J48" s="89">
        <f t="shared" si="6"/>
        <v>21.240225522183817</v>
      </c>
      <c r="K48" s="89">
        <f t="shared" si="9"/>
        <v>0.01599974304998771</v>
      </c>
      <c r="L48" s="89">
        <f t="shared" si="7"/>
        <v>152158.5279547063</v>
      </c>
      <c r="M48" s="90">
        <f t="shared" si="8"/>
        <v>22.823779193205944</v>
      </c>
    </row>
    <row r="49" spans="8:13" ht="15.75">
      <c r="H49" s="89">
        <v>440</v>
      </c>
      <c r="I49" s="89">
        <f t="shared" si="5"/>
        <v>92.1121774148091</v>
      </c>
      <c r="J49" s="89">
        <f t="shared" si="6"/>
        <v>22.112177414809093</v>
      </c>
      <c r="K49" s="89">
        <f t="shared" si="9"/>
        <v>0.01590805020307759</v>
      </c>
      <c r="L49" s="89">
        <f t="shared" si="7"/>
        <v>155697.09837225758</v>
      </c>
      <c r="M49" s="90">
        <f t="shared" si="8"/>
        <v>23.354564755838638</v>
      </c>
    </row>
    <row r="50" spans="8:13" ht="15.75">
      <c r="H50" s="89">
        <v>450</v>
      </c>
      <c r="I50" s="89">
        <f t="shared" si="5"/>
        <v>92.99912033186213</v>
      </c>
      <c r="J50" s="89">
        <f t="shared" si="6"/>
        <v>22.99912033186213</v>
      </c>
      <c r="K50" s="89">
        <f t="shared" si="9"/>
        <v>0.01581892596724419</v>
      </c>
      <c r="L50" s="89">
        <f t="shared" si="7"/>
        <v>159235.6687898089</v>
      </c>
      <c r="M50" s="90">
        <f t="shared" si="8"/>
        <v>23.885350318471335</v>
      </c>
    </row>
    <row r="51" spans="8:13" ht="15.75">
      <c r="H51" s="89">
        <v>460</v>
      </c>
      <c r="I51" s="89">
        <f t="shared" si="5"/>
        <v>93.90097027789352</v>
      </c>
      <c r="J51" s="89">
        <f t="shared" si="6"/>
        <v>23.900970277893528</v>
      </c>
      <c r="K51" s="89">
        <f t="shared" si="9"/>
        <v>0.015732243658577644</v>
      </c>
      <c r="L51" s="89">
        <f t="shared" si="7"/>
        <v>162774.23920736025</v>
      </c>
      <c r="M51" s="90">
        <f t="shared" si="8"/>
        <v>24.416135881104033</v>
      </c>
    </row>
    <row r="52" spans="8:13" ht="15.75">
      <c r="H52" s="89">
        <v>470</v>
      </c>
      <c r="I52" s="89">
        <f t="shared" si="5"/>
        <v>94.81764555927744</v>
      </c>
      <c r="J52" s="89">
        <f t="shared" si="6"/>
        <v>24.817645559277437</v>
      </c>
      <c r="K52" s="89">
        <f t="shared" si="9"/>
        <v>0.015647885424800712</v>
      </c>
      <c r="L52" s="89">
        <f t="shared" si="7"/>
        <v>166312.80962491152</v>
      </c>
      <c r="M52" s="90">
        <f t="shared" si="8"/>
        <v>24.946921443736727</v>
      </c>
    </row>
    <row r="53" spans="8:13" ht="15.75">
      <c r="H53" s="89">
        <v>480</v>
      </c>
      <c r="I53" s="89">
        <f t="shared" si="5"/>
        <v>95.74906667309251</v>
      </c>
      <c r="J53" s="89">
        <f t="shared" si="6"/>
        <v>25.74906667309251</v>
      </c>
      <c r="K53" s="89">
        <f t="shared" si="9"/>
        <v>0.015565741457024536</v>
      </c>
      <c r="L53" s="89">
        <f t="shared" si="7"/>
        <v>169851.38004246284</v>
      </c>
      <c r="M53" s="90">
        <f t="shared" si="8"/>
        <v>25.477707006369425</v>
      </c>
    </row>
    <row r="54" spans="8:13" ht="15.75">
      <c r="H54" s="89">
        <v>490</v>
      </c>
      <c r="I54" s="89">
        <f t="shared" si="5"/>
        <v>96.69515620358925</v>
      </c>
      <c r="J54" s="89">
        <f t="shared" si="6"/>
        <v>26.695156203589242</v>
      </c>
      <c r="K54" s="89">
        <f t="shared" si="9"/>
        <v>0.015485709286625494</v>
      </c>
      <c r="L54" s="89">
        <f t="shared" si="7"/>
        <v>173389.9504600141</v>
      </c>
      <c r="M54" s="90">
        <f t="shared" si="8"/>
        <v>26.008492569002115</v>
      </c>
    </row>
    <row r="55" spans="8:13" ht="15.75">
      <c r="H55" s="89">
        <v>500</v>
      </c>
      <c r="I55" s="89">
        <f t="shared" si="5"/>
        <v>97.65583872558015</v>
      </c>
      <c r="J55" s="89">
        <f t="shared" si="6"/>
        <v>27.655838725580157</v>
      </c>
      <c r="K55" s="89">
        <f t="shared" si="9"/>
        <v>0.01540769315652025</v>
      </c>
      <c r="L55" s="89">
        <f t="shared" si="7"/>
        <v>176928.52087756546</v>
      </c>
      <c r="M55" s="90">
        <f t="shared" si="8"/>
        <v>26.539278131634816</v>
      </c>
    </row>
    <row r="56" spans="8:13" ht="15.75">
      <c r="H56" s="89">
        <v>510</v>
      </c>
      <c r="I56" s="89">
        <f t="shared" si="5"/>
        <v>98.63104071415961</v>
      </c>
      <c r="J56" s="89">
        <f t="shared" si="6"/>
        <v>28.631040714159617</v>
      </c>
      <c r="K56" s="89">
        <f t="shared" si="9"/>
        <v>0.015331603457652426</v>
      </c>
      <c r="L56" s="89">
        <f t="shared" si="7"/>
        <v>180467.0912951168</v>
      </c>
      <c r="M56" s="90">
        <f t="shared" si="8"/>
        <v>27.070063694267517</v>
      </c>
    </row>
    <row r="57" spans="8:13" ht="15.75">
      <c r="H57" s="89">
        <v>520</v>
      </c>
      <c r="I57" s="89">
        <f t="shared" si="5"/>
        <v>99.62069046022177</v>
      </c>
      <c r="J57" s="89">
        <f t="shared" si="6"/>
        <v>29.62069046022177</v>
      </c>
      <c r="K57" s="89">
        <f t="shared" si="9"/>
        <v>0.015257356222794616</v>
      </c>
      <c r="L57" s="89">
        <f t="shared" si="7"/>
        <v>184005.66171266805</v>
      </c>
      <c r="M57" s="90">
        <f t="shared" si="8"/>
        <v>27.600849256900208</v>
      </c>
    </row>
    <row r="58" spans="8:13" ht="15.75">
      <c r="H58" s="89">
        <v>530</v>
      </c>
      <c r="I58" s="89">
        <f t="shared" si="5"/>
        <v>100.62471799129898</v>
      </c>
      <c r="J58" s="89">
        <f t="shared" si="6"/>
        <v>30.624717991298983</v>
      </c>
      <c r="K58" s="89">
        <f t="shared" si="9"/>
        <v>0.015184872670857413</v>
      </c>
      <c r="L58" s="89">
        <f t="shared" si="7"/>
        <v>187544.23213021937</v>
      </c>
      <c r="M58" s="90">
        <f t="shared" si="8"/>
        <v>28.131634819532906</v>
      </c>
    </row>
    <row r="59" spans="8:13" ht="15.75">
      <c r="H59" s="89">
        <v>540</v>
      </c>
      <c r="I59" s="89">
        <f t="shared" si="5"/>
        <v>101.64305499729075</v>
      </c>
      <c r="J59" s="89">
        <f t="shared" si="6"/>
        <v>31.643054997290747</v>
      </c>
      <c r="K59" s="89">
        <f t="shared" si="9"/>
        <v>0.01511407879581795</v>
      </c>
      <c r="L59" s="89">
        <f t="shared" si="7"/>
        <v>191082.8025477707</v>
      </c>
      <c r="M59" s="90">
        <f t="shared" si="8"/>
        <v>28.662420382165603</v>
      </c>
    </row>
    <row r="60" spans="8:13" ht="15.75">
      <c r="H60" s="89">
        <v>550</v>
      </c>
      <c r="I60" s="89">
        <f t="shared" si="5"/>
        <v>102.67563476069569</v>
      </c>
      <c r="J60" s="89">
        <f t="shared" si="6"/>
        <v>32.675634760695694</v>
      </c>
      <c r="K60" s="89">
        <f t="shared" si="9"/>
        <v>0.015044904995161902</v>
      </c>
      <c r="L60" s="89">
        <f t="shared" si="7"/>
        <v>194621.37296532196</v>
      </c>
      <c r="M60" s="90">
        <f t="shared" si="8"/>
        <v>29.193205944798297</v>
      </c>
    </row>
    <row r="61" spans="8:13" ht="15.75">
      <c r="H61" s="89">
        <v>560</v>
      </c>
      <c r="I61" s="89">
        <f t="shared" si="5"/>
        <v>103.72239209099565</v>
      </c>
      <c r="J61" s="89">
        <f t="shared" si="6"/>
        <v>33.722392090995655</v>
      </c>
      <c r="K61" s="89">
        <f t="shared" si="9"/>
        <v>0.01497728573339848</v>
      </c>
      <c r="L61" s="89">
        <f t="shared" si="7"/>
        <v>198159.94338287332</v>
      </c>
      <c r="M61" s="90">
        <f t="shared" si="8"/>
        <v>29.723991507431</v>
      </c>
    </row>
    <row r="62" spans="8:13" ht="15.75">
      <c r="H62" s="89">
        <v>570</v>
      </c>
      <c r="I62" s="89">
        <f t="shared" si="5"/>
        <v>104.783263262875</v>
      </c>
      <c r="J62" s="89">
        <f t="shared" si="6"/>
        <v>34.783263262874996</v>
      </c>
      <c r="K62" s="89">
        <f t="shared" si="9"/>
        <v>0.014911159236776786</v>
      </c>
      <c r="L62" s="89">
        <f t="shared" si="7"/>
        <v>201698.51380042458</v>
      </c>
      <c r="M62" s="90">
        <f t="shared" si="8"/>
        <v>30.25477707006369</v>
      </c>
    </row>
    <row r="63" spans="8:13" ht="15.75">
      <c r="H63" s="89">
        <v>580</v>
      </c>
      <c r="I63" s="89">
        <f t="shared" si="5"/>
        <v>105.85818595798676</v>
      </c>
      <c r="J63" s="89">
        <f t="shared" si="6"/>
        <v>35.85818595798677</v>
      </c>
      <c r="K63" s="89">
        <f t="shared" si="9"/>
        <v>0.014846467215818756</v>
      </c>
      <c r="L63" s="89">
        <f t="shared" si="7"/>
        <v>205237.08421797593</v>
      </c>
      <c r="M63" s="90">
        <f t="shared" si="8"/>
        <v>30.78556263269639</v>
      </c>
    </row>
    <row r="64" spans="8:13" ht="15.75">
      <c r="H64" s="89">
        <v>590</v>
      </c>
      <c r="I64" s="89">
        <f t="shared" si="5"/>
        <v>106.94709921000424</v>
      </c>
      <c r="J64" s="89">
        <f t="shared" si="6"/>
        <v>36.94709921000425</v>
      </c>
      <c r="K64" s="89">
        <f t="shared" si="9"/>
        <v>0.01478315461270296</v>
      </c>
      <c r="L64" s="89">
        <f t="shared" si="7"/>
        <v>208775.65463552723</v>
      </c>
      <c r="M64" s="90">
        <f t="shared" si="8"/>
        <v>31.316348195329084</v>
      </c>
    </row>
    <row r="65" spans="8:13" ht="15.75">
      <c r="H65" s="89">
        <v>600</v>
      </c>
      <c r="I65" s="89">
        <f t="shared" si="5"/>
        <v>108.04994335271964</v>
      </c>
      <c r="J65" s="89">
        <f t="shared" si="6"/>
        <v>38.04994335271964</v>
      </c>
      <c r="K65" s="89">
        <f t="shared" si="9"/>
        <v>0.014721169370893825</v>
      </c>
      <c r="L65" s="89">
        <f t="shared" si="7"/>
        <v>212314.22505307852</v>
      </c>
      <c r="M65" s="90">
        <f t="shared" si="8"/>
        <v>31.847133757961778</v>
      </c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M6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70" customWidth="1"/>
    <col min="2" max="2" width="34.28125" style="69" customWidth="1"/>
    <col min="3" max="3" width="6.8515625" style="69" customWidth="1"/>
    <col min="4" max="4" width="7.421875" style="70" customWidth="1"/>
    <col min="5" max="6" width="7.28125" style="70" customWidth="1"/>
    <col min="7" max="7" width="9.421875" style="73" customWidth="1"/>
    <col min="8" max="8" width="7.7109375" style="73" customWidth="1"/>
    <col min="9" max="9" width="8.421875" style="69" customWidth="1"/>
    <col min="10" max="10" width="9.7109375" style="69" customWidth="1"/>
    <col min="11" max="11" width="6.8515625" style="69" customWidth="1"/>
    <col min="12" max="12" width="7.421875" style="69" customWidth="1"/>
    <col min="13" max="13" width="7.7109375" style="72" customWidth="1"/>
    <col min="14" max="16384" width="10.7109375" style="70" customWidth="1"/>
  </cols>
  <sheetData>
    <row r="1" s="75" customFormat="1" ht="15.75"/>
    <row r="2" s="75" customFormat="1" ht="15.75"/>
    <row r="3" spans="7:8" ht="16.5" thickBot="1">
      <c r="G3" s="71"/>
      <c r="H3" s="71"/>
    </row>
    <row r="4" spans="2:13" ht="16.5" customHeight="1" thickBot="1">
      <c r="B4" s="35" t="s">
        <v>12</v>
      </c>
      <c r="C4" s="35"/>
      <c r="E4" s="71"/>
      <c r="G4" s="80" t="s">
        <v>87</v>
      </c>
      <c r="H4" s="81" t="s">
        <v>88</v>
      </c>
      <c r="I4" s="82" t="s">
        <v>77</v>
      </c>
      <c r="J4" s="82" t="s">
        <v>78</v>
      </c>
      <c r="K4" s="83" t="s">
        <v>26</v>
      </c>
      <c r="L4" s="82" t="s">
        <v>27</v>
      </c>
      <c r="M4" s="84" t="s">
        <v>79</v>
      </c>
    </row>
    <row r="5" spans="2:13" ht="13.5" customHeight="1">
      <c r="B5" s="37" t="s">
        <v>13</v>
      </c>
      <c r="C5" s="37">
        <v>20</v>
      </c>
      <c r="E5" s="71"/>
      <c r="G5" s="91">
        <v>0</v>
      </c>
      <c r="H5" s="91">
        <v>11</v>
      </c>
      <c r="I5" s="92">
        <f aca="true" t="shared" si="0" ref="I5:I36">(C$12-C$9)+(C$14^2-C$11^2)/2/9.81+(C$13-C$10)/C$6*10000+J5</f>
        <v>5</v>
      </c>
      <c r="J5" s="92">
        <f aca="true" t="shared" si="1" ref="J5:J36">K5*(C$8+D$34)/C$6*1000*M5^2/2/9.81</f>
        <v>0</v>
      </c>
      <c r="K5" s="92"/>
      <c r="L5" s="92">
        <f aca="true" t="shared" si="2" ref="L5:L36">M5*C$6*C$5/1000/C$7*1000</f>
        <v>0</v>
      </c>
      <c r="M5" s="93">
        <f aca="true" t="shared" si="3" ref="M5:M36">4*G5/60000/3.14/(C$5/1000)^2</f>
        <v>0</v>
      </c>
    </row>
    <row r="6" spans="2:13" ht="13.5" customHeight="1">
      <c r="B6" s="37" t="s">
        <v>31</v>
      </c>
      <c r="C6" s="37">
        <v>1000</v>
      </c>
      <c r="E6" s="71"/>
      <c r="G6" s="91">
        <v>10</v>
      </c>
      <c r="H6" s="91">
        <f aca="true" t="shared" si="4" ref="H6:H14">H$5-(H$5-H$15)/(G$15-G$5)*(G6-G$5)</f>
        <v>10.95</v>
      </c>
      <c r="I6" s="92">
        <f t="shared" si="0"/>
        <v>5.029416386724165</v>
      </c>
      <c r="J6" s="92">
        <f t="shared" si="1"/>
        <v>0.029416386724165047</v>
      </c>
      <c r="K6" s="92">
        <f aca="true" t="shared" si="5" ref="K6:K37">0.316/L6^0.25</f>
        <v>0.04097133564785451</v>
      </c>
      <c r="L6" s="92">
        <f t="shared" si="2"/>
        <v>3538.5704175513088</v>
      </c>
      <c r="M6" s="93">
        <f t="shared" si="3"/>
        <v>0.5307855626326963</v>
      </c>
    </row>
    <row r="7" spans="2:13" ht="13.5" customHeight="1">
      <c r="B7" s="37" t="s">
        <v>16</v>
      </c>
      <c r="C7" s="37">
        <v>3</v>
      </c>
      <c r="E7" s="71"/>
      <c r="G7" s="91">
        <v>20</v>
      </c>
      <c r="H7" s="91">
        <f t="shared" si="4"/>
        <v>10.9</v>
      </c>
      <c r="I7" s="92">
        <f t="shared" si="0"/>
        <v>5.09894453658427</v>
      </c>
      <c r="J7" s="92">
        <f t="shared" si="1"/>
        <v>0.0989445365842694</v>
      </c>
      <c r="K7" s="92">
        <f t="shared" si="5"/>
        <v>0.034452649274437586</v>
      </c>
      <c r="L7" s="92">
        <f t="shared" si="2"/>
        <v>7077.1408351026175</v>
      </c>
      <c r="M7" s="93">
        <f t="shared" si="3"/>
        <v>1.0615711252653925</v>
      </c>
    </row>
    <row r="8" spans="2:13" ht="13.5" customHeight="1">
      <c r="B8" s="37" t="s">
        <v>17</v>
      </c>
      <c r="C8" s="37">
        <v>50</v>
      </c>
      <c r="E8" s="71"/>
      <c r="G8" s="91">
        <v>30</v>
      </c>
      <c r="H8" s="91">
        <f t="shared" si="4"/>
        <v>10.85</v>
      </c>
      <c r="I8" s="92">
        <f t="shared" si="0"/>
        <v>5.201164583383536</v>
      </c>
      <c r="J8" s="92">
        <f t="shared" si="1"/>
        <v>0.2011645833835353</v>
      </c>
      <c r="K8" s="92">
        <f t="shared" si="5"/>
        <v>0.031131482914049075</v>
      </c>
      <c r="L8" s="92">
        <f t="shared" si="2"/>
        <v>10615.711252653928</v>
      </c>
      <c r="M8" s="93">
        <f t="shared" si="3"/>
        <v>1.592356687898089</v>
      </c>
    </row>
    <row r="9" spans="2:13" ht="13.5" customHeight="1">
      <c r="B9" s="37" t="s">
        <v>80</v>
      </c>
      <c r="C9" s="37">
        <v>0</v>
      </c>
      <c r="E9" s="71"/>
      <c r="G9" s="91">
        <v>40</v>
      </c>
      <c r="H9" s="91">
        <f t="shared" si="4"/>
        <v>10.8</v>
      </c>
      <c r="I9" s="92">
        <f t="shared" si="0"/>
        <v>5.332808424490609</v>
      </c>
      <c r="J9" s="92">
        <f t="shared" si="1"/>
        <v>0.33280842449060855</v>
      </c>
      <c r="K9" s="92">
        <f t="shared" si="5"/>
        <v>0.028971109270868056</v>
      </c>
      <c r="L9" s="92">
        <f t="shared" si="2"/>
        <v>14154.281670205235</v>
      </c>
      <c r="M9" s="93">
        <f t="shared" si="3"/>
        <v>2.123142250530785</v>
      </c>
    </row>
    <row r="10" spans="2:13" ht="13.5" customHeight="1">
      <c r="B10" s="37" t="s">
        <v>81</v>
      </c>
      <c r="C10" s="37">
        <v>0</v>
      </c>
      <c r="E10" s="74"/>
      <c r="G10" s="91">
        <v>50</v>
      </c>
      <c r="H10" s="91">
        <f t="shared" si="4"/>
        <v>10.75</v>
      </c>
      <c r="I10" s="92">
        <f t="shared" si="0"/>
        <v>5.491798085730563</v>
      </c>
      <c r="J10" s="92">
        <f t="shared" si="1"/>
        <v>0.491798085730563</v>
      </c>
      <c r="K10" s="92">
        <f t="shared" si="5"/>
        <v>0.027399183496437586</v>
      </c>
      <c r="L10" s="92">
        <f t="shared" si="2"/>
        <v>17692.852087756546</v>
      </c>
      <c r="M10" s="93">
        <f t="shared" si="3"/>
        <v>2.653927813163482</v>
      </c>
    </row>
    <row r="11" spans="2:13" ht="13.5" customHeight="1">
      <c r="B11" s="37" t="s">
        <v>82</v>
      </c>
      <c r="C11" s="37">
        <v>0</v>
      </c>
      <c r="E11" s="71"/>
      <c r="G11" s="91">
        <v>60</v>
      </c>
      <c r="H11" s="91">
        <f t="shared" si="4"/>
        <v>10.7</v>
      </c>
      <c r="I11" s="92">
        <f t="shared" si="0"/>
        <v>5.676634308172887</v>
      </c>
      <c r="J11" s="92">
        <f t="shared" si="1"/>
        <v>0.6766343081728871</v>
      </c>
      <c r="K11" s="92">
        <f t="shared" si="5"/>
        <v>0.02617835238395613</v>
      </c>
      <c r="L11" s="92">
        <f t="shared" si="2"/>
        <v>21231.422505307855</v>
      </c>
      <c r="M11" s="93">
        <f t="shared" si="3"/>
        <v>3.184713375796178</v>
      </c>
    </row>
    <row r="12" spans="2:13" ht="13.5" customHeight="1">
      <c r="B12" s="37" t="s">
        <v>83</v>
      </c>
      <c r="C12" s="37">
        <v>5</v>
      </c>
      <c r="E12" s="71"/>
      <c r="G12" s="91">
        <v>70</v>
      </c>
      <c r="H12" s="91">
        <f t="shared" si="4"/>
        <v>10.65</v>
      </c>
      <c r="I12" s="92">
        <f t="shared" si="0"/>
        <v>5.886157456971827</v>
      </c>
      <c r="J12" s="92">
        <f t="shared" si="1"/>
        <v>0.8861574569718271</v>
      </c>
      <c r="K12" s="92">
        <f t="shared" si="5"/>
        <v>0.025188691766890772</v>
      </c>
      <c r="L12" s="92">
        <f t="shared" si="2"/>
        <v>24769.992922859165</v>
      </c>
      <c r="M12" s="93">
        <f t="shared" si="3"/>
        <v>3.715498938428875</v>
      </c>
    </row>
    <row r="13" spans="2:13" ht="13.5" customHeight="1">
      <c r="B13" s="37" t="s">
        <v>84</v>
      </c>
      <c r="C13" s="37">
        <v>0</v>
      </c>
      <c r="E13" s="71"/>
      <c r="G13" s="91">
        <v>80</v>
      </c>
      <c r="H13" s="91">
        <f t="shared" si="4"/>
        <v>10.6</v>
      </c>
      <c r="I13" s="92">
        <f t="shared" si="0"/>
        <v>6.119429644481557</v>
      </c>
      <c r="J13" s="92">
        <f t="shared" si="1"/>
        <v>1.119429644481557</v>
      </c>
      <c r="K13" s="92">
        <f t="shared" si="5"/>
        <v>0.0243617019317966</v>
      </c>
      <c r="L13" s="92">
        <f t="shared" si="2"/>
        <v>28308.56334041047</v>
      </c>
      <c r="M13" s="93">
        <f t="shared" si="3"/>
        <v>4.24628450106157</v>
      </c>
    </row>
    <row r="14" spans="2:13" ht="13.5" customHeight="1">
      <c r="B14" s="37" t="s">
        <v>85</v>
      </c>
      <c r="C14" s="37">
        <v>0</v>
      </c>
      <c r="E14" s="71"/>
      <c r="G14" s="91">
        <v>90</v>
      </c>
      <c r="H14" s="91">
        <f t="shared" si="4"/>
        <v>10.55</v>
      </c>
      <c r="I14" s="92">
        <f t="shared" si="0"/>
        <v>6.37566826229641</v>
      </c>
      <c r="J14" s="92">
        <f t="shared" si="1"/>
        <v>1.3756682622964096</v>
      </c>
      <c r="K14" s="92">
        <f t="shared" si="5"/>
        <v>0.02365481166534732</v>
      </c>
      <c r="L14" s="92">
        <f t="shared" si="2"/>
        <v>31847.133757961776</v>
      </c>
      <c r="M14" s="93">
        <f t="shared" si="3"/>
        <v>4.777070063694267</v>
      </c>
    </row>
    <row r="15" spans="2:13" ht="13.5" customHeight="1">
      <c r="B15" s="71"/>
      <c r="C15" s="71"/>
      <c r="E15" s="74"/>
      <c r="G15" s="91">
        <v>100</v>
      </c>
      <c r="H15" s="91">
        <v>10.5</v>
      </c>
      <c r="I15" s="92">
        <f t="shared" si="0"/>
        <v>6.654204989277877</v>
      </c>
      <c r="J15" s="92">
        <f t="shared" si="1"/>
        <v>1.6542049892778772</v>
      </c>
      <c r="K15" s="92">
        <f t="shared" si="5"/>
        <v>0.0230398751830331</v>
      </c>
      <c r="L15" s="92">
        <f t="shared" si="2"/>
        <v>35385.70417551309</v>
      </c>
      <c r="M15" s="93">
        <f t="shared" si="3"/>
        <v>5.307855626326964</v>
      </c>
    </row>
    <row r="16" spans="5:13" ht="15.75">
      <c r="E16" s="71"/>
      <c r="G16" s="91">
        <v>110</v>
      </c>
      <c r="H16" s="91">
        <f aca="true" t="shared" si="6" ref="H16:H24">H$15-(H$15-H$25)/(G$25-G$15)*(G16-G$15)</f>
        <v>10.4</v>
      </c>
      <c r="I16" s="92">
        <f t="shared" si="0"/>
        <v>6.954458824601442</v>
      </c>
      <c r="J16" s="92">
        <f t="shared" si="1"/>
        <v>1.9544588246014416</v>
      </c>
      <c r="K16" s="92">
        <f t="shared" si="5"/>
        <v>0.0224973803481044</v>
      </c>
      <c r="L16" s="92">
        <f t="shared" si="2"/>
        <v>38924.274593064394</v>
      </c>
      <c r="M16" s="93">
        <f t="shared" si="3"/>
        <v>5.8386411889596594</v>
      </c>
    </row>
    <row r="17" spans="5:13" ht="16.5" thickBot="1">
      <c r="E17" s="74"/>
      <c r="G17" s="91">
        <v>120</v>
      </c>
      <c r="H17" s="91">
        <f t="shared" si="6"/>
        <v>10.3</v>
      </c>
      <c r="I17" s="92">
        <f t="shared" si="0"/>
        <v>7.275917456721031</v>
      </c>
      <c r="J17" s="92">
        <f t="shared" si="1"/>
        <v>2.2759174567210314</v>
      </c>
      <c r="K17" s="92">
        <f t="shared" si="5"/>
        <v>0.02201328267691724</v>
      </c>
      <c r="L17" s="92">
        <f t="shared" si="2"/>
        <v>42462.84501061571</v>
      </c>
      <c r="M17" s="93">
        <f t="shared" si="3"/>
        <v>6.369426751592356</v>
      </c>
    </row>
    <row r="18" spans="2:13" ht="16.5" thickBot="1">
      <c r="B18" s="35" t="s">
        <v>33</v>
      </c>
      <c r="C18" s="35"/>
      <c r="D18" s="35"/>
      <c r="E18" s="74"/>
      <c r="G18" s="91">
        <v>130</v>
      </c>
      <c r="H18" s="91">
        <f t="shared" si="6"/>
        <v>10.2</v>
      </c>
      <c r="I18" s="92">
        <f t="shared" si="0"/>
        <v>7.618123885981312</v>
      </c>
      <c r="J18" s="92">
        <f t="shared" si="1"/>
        <v>2.6181238859813116</v>
      </c>
      <c r="K18" s="92">
        <f t="shared" si="5"/>
        <v>0.021577160096233686</v>
      </c>
      <c r="L18" s="92">
        <f t="shared" si="2"/>
        <v>46001.41542816701</v>
      </c>
      <c r="M18" s="93">
        <f t="shared" si="3"/>
        <v>6.900212314225052</v>
      </c>
    </row>
    <row r="19" spans="2:13" ht="18.75" customHeight="1" thickBot="1">
      <c r="B19" s="35" t="s">
        <v>34</v>
      </c>
      <c r="C19" s="35" t="s">
        <v>86</v>
      </c>
      <c r="D19" s="35" t="s">
        <v>35</v>
      </c>
      <c r="G19" s="91">
        <v>140</v>
      </c>
      <c r="H19" s="91">
        <f t="shared" si="6"/>
        <v>10.1</v>
      </c>
      <c r="I19" s="92">
        <f t="shared" si="0"/>
        <v>7.980666515671829</v>
      </c>
      <c r="J19" s="92">
        <f t="shared" si="1"/>
        <v>2.980666515671829</v>
      </c>
      <c r="K19" s="92">
        <f t="shared" si="5"/>
        <v>0.021181080611709202</v>
      </c>
      <c r="L19" s="92">
        <f t="shared" si="2"/>
        <v>49539.98584571833</v>
      </c>
      <c r="M19" s="93">
        <f t="shared" si="3"/>
        <v>7.43099787685775</v>
      </c>
    </row>
    <row r="20" spans="2:13" ht="13.5" customHeight="1">
      <c r="B20" s="37" t="s">
        <v>36</v>
      </c>
      <c r="C20" s="37"/>
      <c r="D20" s="37">
        <f>900*C20*C5/1000</f>
        <v>0</v>
      </c>
      <c r="G20" s="91">
        <v>150</v>
      </c>
      <c r="H20" s="91">
        <f t="shared" si="6"/>
        <v>10</v>
      </c>
      <c r="I20" s="92">
        <f t="shared" si="0"/>
        <v>8.363171621059005</v>
      </c>
      <c r="J20" s="92">
        <f t="shared" si="1"/>
        <v>3.363171621059005</v>
      </c>
      <c r="K20" s="92">
        <f t="shared" si="5"/>
        <v>0.020818877378309442</v>
      </c>
      <c r="L20" s="92">
        <f t="shared" si="2"/>
        <v>53078.55626326963</v>
      </c>
      <c r="M20" s="93">
        <f t="shared" si="3"/>
        <v>7.9617834394904445</v>
      </c>
    </row>
    <row r="21" spans="2:13" ht="13.5" customHeight="1">
      <c r="B21" s="37" t="s">
        <v>37</v>
      </c>
      <c r="C21" s="37"/>
      <c r="D21" s="37">
        <f>420*C21*C5/1000</f>
        <v>0</v>
      </c>
      <c r="G21" s="91">
        <v>160</v>
      </c>
      <c r="H21" s="91">
        <f t="shared" si="6"/>
        <v>9.9</v>
      </c>
      <c r="I21" s="92">
        <f t="shared" si="0"/>
        <v>8.765297500693126</v>
      </c>
      <c r="J21" s="92">
        <f t="shared" si="1"/>
        <v>3.765297500693126</v>
      </c>
      <c r="K21" s="92">
        <f t="shared" si="5"/>
        <v>0.020485667823927252</v>
      </c>
      <c r="L21" s="92">
        <f t="shared" si="2"/>
        <v>56617.12668082094</v>
      </c>
      <c r="M21" s="93">
        <f t="shared" si="3"/>
        <v>8.49256900212314</v>
      </c>
    </row>
    <row r="22" spans="2:13" ht="13.5" customHeight="1">
      <c r="B22" s="37" t="s">
        <v>38</v>
      </c>
      <c r="C22" s="37"/>
      <c r="D22" s="37">
        <f>400*C22*C5/1000</f>
        <v>0</v>
      </c>
      <c r="G22" s="91">
        <v>170</v>
      </c>
      <c r="H22" s="91">
        <f t="shared" si="6"/>
        <v>9.8</v>
      </c>
      <c r="I22" s="92">
        <f t="shared" si="0"/>
        <v>9.186729849743362</v>
      </c>
      <c r="J22" s="92">
        <f t="shared" si="1"/>
        <v>4.186729849743361</v>
      </c>
      <c r="K22" s="92">
        <f t="shared" si="5"/>
        <v>0.020177524887508944</v>
      </c>
      <c r="L22" s="92">
        <f t="shared" si="2"/>
        <v>60155.69709837225</v>
      </c>
      <c r="M22" s="93">
        <f t="shared" si="3"/>
        <v>9.023354564755838</v>
      </c>
    </row>
    <row r="23" spans="2:13" ht="13.5" customHeight="1">
      <c r="B23" s="37" t="s">
        <v>39</v>
      </c>
      <c r="C23" s="37"/>
      <c r="D23" s="37">
        <f>200*C23*C5/1000</f>
        <v>0</v>
      </c>
      <c r="G23" s="91">
        <v>180</v>
      </c>
      <c r="H23" s="91">
        <f t="shared" si="6"/>
        <v>9.7</v>
      </c>
      <c r="I23" s="92">
        <f t="shared" si="0"/>
        <v>9.62717804137343</v>
      </c>
      <c r="J23" s="92">
        <f t="shared" si="1"/>
        <v>4.62717804137343</v>
      </c>
      <c r="K23" s="92">
        <f t="shared" si="5"/>
        <v>0.01989124633289231</v>
      </c>
      <c r="L23" s="92">
        <f t="shared" si="2"/>
        <v>63694.26751592355</v>
      </c>
      <c r="M23" s="93">
        <f t="shared" si="3"/>
        <v>9.554140127388534</v>
      </c>
    </row>
    <row r="24" spans="2:13" ht="13.5" customHeight="1">
      <c r="B24" s="37" t="s">
        <v>40</v>
      </c>
      <c r="C24" s="37"/>
      <c r="D24" s="37">
        <f>160*C24*C5/1000</f>
        <v>0</v>
      </c>
      <c r="G24" s="91">
        <v>190</v>
      </c>
      <c r="H24" s="91">
        <f t="shared" si="6"/>
        <v>9.6</v>
      </c>
      <c r="I24" s="92">
        <f t="shared" si="0"/>
        <v>10.086372096217211</v>
      </c>
      <c r="J24" s="92">
        <f t="shared" si="1"/>
        <v>5.086372096217212</v>
      </c>
      <c r="K24" s="92">
        <f t="shared" si="5"/>
        <v>0.019624189174518445</v>
      </c>
      <c r="L24" s="92">
        <f t="shared" si="2"/>
        <v>67232.83793347489</v>
      </c>
      <c r="M24" s="93">
        <f t="shared" si="3"/>
        <v>10.084925690021231</v>
      </c>
    </row>
    <row r="25" spans="2:13" ht="13.5" customHeight="1">
      <c r="B25" s="37" t="s">
        <v>41</v>
      </c>
      <c r="C25" s="37"/>
      <c r="D25" s="37">
        <f>150*C25*C5/1000</f>
        <v>0</v>
      </c>
      <c r="G25" s="91">
        <v>200</v>
      </c>
      <c r="H25" s="91">
        <v>9.5</v>
      </c>
      <c r="I25" s="92">
        <f t="shared" si="0"/>
        <v>10.564060182314305</v>
      </c>
      <c r="J25" s="92">
        <f t="shared" si="1"/>
        <v>5.564060182314305</v>
      </c>
      <c r="K25" s="92">
        <f t="shared" si="5"/>
        <v>0.019374148449305552</v>
      </c>
      <c r="L25" s="92">
        <f t="shared" si="2"/>
        <v>70771.40835102618</v>
      </c>
      <c r="M25" s="93">
        <f t="shared" si="3"/>
        <v>10.615711252653927</v>
      </c>
    </row>
    <row r="26" spans="2:13" ht="13.5" customHeight="1">
      <c r="B26" s="37" t="s">
        <v>42</v>
      </c>
      <c r="C26" s="37"/>
      <c r="D26" s="37">
        <f>100*C26*C5/1000</f>
        <v>0</v>
      </c>
      <c r="G26" s="91">
        <v>210</v>
      </c>
      <c r="H26" s="91">
        <f aca="true" t="shared" si="7" ref="H26:H34">H$25-(H$25-H$35)/(G$35-G$25)*(G26-G$25)</f>
        <v>9.35</v>
      </c>
      <c r="I26" s="92">
        <f t="shared" si="0"/>
        <v>11.060006530221138</v>
      </c>
      <c r="J26" s="92">
        <f t="shared" si="1"/>
        <v>6.060006530221138</v>
      </c>
      <c r="K26" s="92">
        <f t="shared" si="5"/>
        <v>0.01913926687936207</v>
      </c>
      <c r="L26" s="92">
        <f t="shared" si="2"/>
        <v>74309.97876857748</v>
      </c>
      <c r="M26" s="93">
        <f t="shared" si="3"/>
        <v>11.146496815286623</v>
      </c>
    </row>
    <row r="27" spans="2:13" ht="13.5" customHeight="1">
      <c r="B27" s="37" t="s">
        <v>43</v>
      </c>
      <c r="C27" s="37"/>
      <c r="D27" s="37">
        <f>50*C27*C5/1000</f>
        <v>0</v>
      </c>
      <c r="G27" s="91">
        <v>220</v>
      </c>
      <c r="H27" s="91">
        <f t="shared" si="7"/>
        <v>9.2</v>
      </c>
      <c r="I27" s="92">
        <f t="shared" si="0"/>
        <v>11.573989677473362</v>
      </c>
      <c r="J27" s="92">
        <f t="shared" si="1"/>
        <v>6.573989677473362</v>
      </c>
      <c r="K27" s="92">
        <f t="shared" si="5"/>
        <v>0.018917966487320352</v>
      </c>
      <c r="L27" s="92">
        <f t="shared" si="2"/>
        <v>77848.54918612879</v>
      </c>
      <c r="M27" s="93">
        <f t="shared" si="3"/>
        <v>11.677282377919319</v>
      </c>
    </row>
    <row r="28" spans="2:13" ht="13.5" customHeight="1">
      <c r="B28" s="37" t="s">
        <v>44</v>
      </c>
      <c r="C28" s="37"/>
      <c r="D28" s="37">
        <f>35*C28*C5/1000</f>
        <v>0</v>
      </c>
      <c r="G28" s="91">
        <v>230</v>
      </c>
      <c r="H28" s="91">
        <f t="shared" si="7"/>
        <v>9.05</v>
      </c>
      <c r="I28" s="92">
        <f t="shared" si="0"/>
        <v>12.105800977484886</v>
      </c>
      <c r="J28" s="92">
        <f t="shared" si="1"/>
        <v>7.105800977484887</v>
      </c>
      <c r="K28" s="92">
        <f t="shared" si="5"/>
        <v>0.018708896093736972</v>
      </c>
      <c r="L28" s="92">
        <f t="shared" si="2"/>
        <v>81387.11960368013</v>
      </c>
      <c r="M28" s="93">
        <f t="shared" si="3"/>
        <v>12.208067940552016</v>
      </c>
    </row>
    <row r="29" spans="2:13" ht="13.5" customHeight="1">
      <c r="B29" s="37" t="s">
        <v>45</v>
      </c>
      <c r="C29" s="37"/>
      <c r="D29" s="37">
        <f>20*C29*C5/1000</f>
        <v>0</v>
      </c>
      <c r="G29" s="91">
        <v>240</v>
      </c>
      <c r="H29" s="91">
        <f t="shared" si="7"/>
        <v>8.9</v>
      </c>
      <c r="I29" s="92">
        <f t="shared" si="0"/>
        <v>12.655243323080267</v>
      </c>
      <c r="J29" s="92">
        <f t="shared" si="1"/>
        <v>7.655243323080266</v>
      </c>
      <c r="K29" s="92">
        <f t="shared" si="5"/>
        <v>0.018510890490986403</v>
      </c>
      <c r="L29" s="92">
        <f t="shared" si="2"/>
        <v>84925.69002123142</v>
      </c>
      <c r="M29" s="93">
        <f t="shared" si="3"/>
        <v>12.738853503184712</v>
      </c>
    </row>
    <row r="30" spans="2:13" ht="13.5" customHeight="1">
      <c r="B30" s="37" t="s">
        <v>46</v>
      </c>
      <c r="C30" s="37"/>
      <c r="D30" s="37">
        <f>30*C30*C5/1000</f>
        <v>0</v>
      </c>
      <c r="G30" s="91">
        <v>250</v>
      </c>
      <c r="H30" s="91">
        <f t="shared" si="7"/>
        <v>8.75</v>
      </c>
      <c r="I30" s="92">
        <f t="shared" si="0"/>
        <v>13.222130045956927</v>
      </c>
      <c r="J30" s="92">
        <f t="shared" si="1"/>
        <v>8.222130045956927</v>
      </c>
      <c r="K30" s="92">
        <f t="shared" si="5"/>
        <v>0.018322938327512615</v>
      </c>
      <c r="L30" s="92">
        <f t="shared" si="2"/>
        <v>88464.26043878273</v>
      </c>
      <c r="M30" s="93">
        <f t="shared" si="3"/>
        <v>13.269639065817408</v>
      </c>
    </row>
    <row r="31" spans="2:13" ht="13.5" customHeight="1">
      <c r="B31" s="37" t="s">
        <v>47</v>
      </c>
      <c r="C31" s="37"/>
      <c r="D31" s="37">
        <f>20*C31*C5/1000</f>
        <v>0</v>
      </c>
      <c r="G31" s="91">
        <v>260</v>
      </c>
      <c r="H31" s="91">
        <f t="shared" si="7"/>
        <v>8.6</v>
      </c>
      <c r="I31" s="92">
        <f t="shared" si="0"/>
        <v>13.806283961647239</v>
      </c>
      <c r="J31" s="92">
        <f t="shared" si="1"/>
        <v>8.806283961647239</v>
      </c>
      <c r="K31" s="92">
        <f t="shared" si="5"/>
        <v>0.018144156576278398</v>
      </c>
      <c r="L31" s="92">
        <f t="shared" si="2"/>
        <v>92002.83085633403</v>
      </c>
      <c r="M31" s="93">
        <f t="shared" si="3"/>
        <v>13.800424628450104</v>
      </c>
    </row>
    <row r="32" spans="2:13" ht="13.5" customHeight="1">
      <c r="B32" s="37" t="s">
        <v>48</v>
      </c>
      <c r="C32" s="37"/>
      <c r="D32" s="37">
        <f>20*C32*C5/1000</f>
        <v>0</v>
      </c>
      <c r="G32" s="91">
        <v>270</v>
      </c>
      <c r="H32" s="91">
        <f t="shared" si="7"/>
        <v>8.45</v>
      </c>
      <c r="I32" s="92">
        <f t="shared" si="0"/>
        <v>14.407536535800142</v>
      </c>
      <c r="J32" s="92">
        <f t="shared" si="1"/>
        <v>9.407536535800142</v>
      </c>
      <c r="K32" s="92">
        <f t="shared" si="5"/>
        <v>0.017973770040698465</v>
      </c>
      <c r="L32" s="92">
        <f t="shared" si="2"/>
        <v>95541.40127388535</v>
      </c>
      <c r="M32" s="93">
        <f t="shared" si="3"/>
        <v>14.331210191082802</v>
      </c>
    </row>
    <row r="33" spans="2:13" ht="13.5" customHeight="1" thickBot="1">
      <c r="B33" s="37" t="s">
        <v>49</v>
      </c>
      <c r="C33" s="37"/>
      <c r="D33" s="37">
        <f>20*C33*C5/1000</f>
        <v>0</v>
      </c>
      <c r="G33" s="91">
        <v>280</v>
      </c>
      <c r="H33" s="91">
        <f t="shared" si="7"/>
        <v>8.3</v>
      </c>
      <c r="I33" s="92">
        <f t="shared" si="0"/>
        <v>15.025727152380881</v>
      </c>
      <c r="J33" s="92">
        <f t="shared" si="1"/>
        <v>10.025727152380881</v>
      </c>
      <c r="K33" s="92">
        <f t="shared" si="5"/>
        <v>0.01781109475758622</v>
      </c>
      <c r="L33" s="92">
        <f t="shared" si="2"/>
        <v>99079.97169143666</v>
      </c>
      <c r="M33" s="93">
        <f t="shared" si="3"/>
        <v>14.8619957537155</v>
      </c>
    </row>
    <row r="34" spans="2:13" ht="16.5" thickBot="1">
      <c r="B34" s="35" t="s">
        <v>50</v>
      </c>
      <c r="C34" s="35"/>
      <c r="D34" s="35">
        <f>SUM(D20:D33)</f>
        <v>0</v>
      </c>
      <c r="G34" s="91">
        <v>290</v>
      </c>
      <c r="H34" s="91">
        <f t="shared" si="7"/>
        <v>8.15</v>
      </c>
      <c r="I34" s="92">
        <f t="shared" si="0"/>
        <v>15.660702468082128</v>
      </c>
      <c r="J34" s="92">
        <f t="shared" si="1"/>
        <v>10.660702468082128</v>
      </c>
      <c r="K34" s="92">
        <f t="shared" si="5"/>
        <v>0.017655524445706297</v>
      </c>
      <c r="L34" s="92">
        <f t="shared" si="2"/>
        <v>102618.54210898797</v>
      </c>
      <c r="M34" s="93">
        <f t="shared" si="3"/>
        <v>15.392781316348195</v>
      </c>
    </row>
    <row r="35" spans="2:13" ht="19.5" customHeight="1">
      <c r="B35" s="70"/>
      <c r="C35" s="70"/>
      <c r="E35" s="71"/>
      <c r="F35" s="71"/>
      <c r="G35" s="91">
        <v>300</v>
      </c>
      <c r="H35" s="91">
        <v>8</v>
      </c>
      <c r="I35" s="92">
        <f t="shared" si="0"/>
        <v>16.312315840126168</v>
      </c>
      <c r="J35" s="92">
        <f t="shared" si="1"/>
        <v>11.31231584012617</v>
      </c>
      <c r="K35" s="92">
        <f t="shared" si="5"/>
        <v>0.01750651935702707</v>
      </c>
      <c r="L35" s="92">
        <f t="shared" si="2"/>
        <v>106157.11252653926</v>
      </c>
      <c r="M35" s="93">
        <f t="shared" si="3"/>
        <v>15.923566878980889</v>
      </c>
    </row>
    <row r="36" spans="7:13" ht="15.75">
      <c r="G36" s="91">
        <v>310</v>
      </c>
      <c r="H36" s="91">
        <f aca="true" t="shared" si="8" ref="H36:H44">H$35-(H$35-H$45)/(G$45-G$35)*(G36-G$35)</f>
        <v>7.8</v>
      </c>
      <c r="I36" s="92">
        <f t="shared" si="0"/>
        <v>16.980426816913834</v>
      </c>
      <c r="J36" s="92">
        <f t="shared" si="1"/>
        <v>11.980426816913836</v>
      </c>
      <c r="K36" s="92">
        <f t="shared" si="5"/>
        <v>0.017363597040060963</v>
      </c>
      <c r="L36" s="92">
        <f t="shared" si="2"/>
        <v>109695.68294409059</v>
      </c>
      <c r="M36" s="93">
        <f t="shared" si="3"/>
        <v>16.454352441613587</v>
      </c>
    </row>
    <row r="37" spans="7:13" ht="15.75">
      <c r="G37" s="91">
        <v>320</v>
      </c>
      <c r="H37" s="91">
        <f t="shared" si="8"/>
        <v>7.6</v>
      </c>
      <c r="I37" s="92">
        <f aca="true" t="shared" si="9" ref="I37:I65">(C$12-C$9)+(C$14^2-C$11^2)/2/9.81+(C$13-C$10)/C$6*10000+J37</f>
        <v>17.66490068278648</v>
      </c>
      <c r="J37" s="92">
        <f aca="true" t="shared" si="10" ref="J37:J65">K37*(C$8+D$34)/C$6*1000*M37^2/2/9.81</f>
        <v>12.664900682786483</v>
      </c>
      <c r="K37" s="92">
        <f t="shared" si="5"/>
        <v>0.017226324637218793</v>
      </c>
      <c r="L37" s="92">
        <f aca="true" t="shared" si="11" ref="L37:L65">M37*C$6*C$5/1000/C$7*1000</f>
        <v>113234.25336164188</v>
      </c>
      <c r="M37" s="93">
        <f aca="true" t="shared" si="12" ref="M37:M58">4*G37/60000/3.14/(C$5/1000)^2</f>
        <v>16.98513800424628</v>
      </c>
    </row>
    <row r="38" spans="7:13" ht="15.75">
      <c r="G38" s="91">
        <v>330</v>
      </c>
      <c r="H38" s="91">
        <f t="shared" si="8"/>
        <v>7.4</v>
      </c>
      <c r="I38" s="92">
        <f t="shared" si="9"/>
        <v>18.36560804961958</v>
      </c>
      <c r="J38" s="92">
        <f t="shared" si="10"/>
        <v>13.36560804961958</v>
      </c>
      <c r="K38" s="92">
        <f aca="true" t="shared" si="13" ref="K38:K65">0.316/L38^0.25</f>
        <v>0.017094312422166573</v>
      </c>
      <c r="L38" s="92">
        <f t="shared" si="11"/>
        <v>116772.82377919318</v>
      </c>
      <c r="M38" s="93">
        <f t="shared" si="12"/>
        <v>17.51592356687898</v>
      </c>
    </row>
    <row r="39" spans="7:13" ht="15.75">
      <c r="G39" s="91">
        <v>340</v>
      </c>
      <c r="H39" s="91">
        <f t="shared" si="8"/>
        <v>7.2</v>
      </c>
      <c r="I39" s="92">
        <f t="shared" si="9"/>
        <v>19.08242448913966</v>
      </c>
      <c r="J39" s="92">
        <f t="shared" si="10"/>
        <v>14.08242448913966</v>
      </c>
      <c r="K39" s="92">
        <f t="shared" si="13"/>
        <v>0.01696720834659888</v>
      </c>
      <c r="L39" s="92">
        <f t="shared" si="11"/>
        <v>120311.3941967445</v>
      </c>
      <c r="M39" s="93">
        <f t="shared" si="12"/>
        <v>18.046709129511676</v>
      </c>
    </row>
    <row r="40" spans="7:13" ht="15.75">
      <c r="G40" s="91">
        <v>350</v>
      </c>
      <c r="H40" s="91">
        <f t="shared" si="8"/>
        <v>7</v>
      </c>
      <c r="I40" s="92">
        <f t="shared" si="9"/>
        <v>19.815230200811758</v>
      </c>
      <c r="J40" s="92">
        <f t="shared" si="10"/>
        <v>14.815230200811758</v>
      </c>
      <c r="K40" s="92">
        <f t="shared" si="13"/>
        <v>0.016844693414147627</v>
      </c>
      <c r="L40" s="92">
        <f t="shared" si="11"/>
        <v>123849.96461429581</v>
      </c>
      <c r="M40" s="93">
        <f t="shared" si="12"/>
        <v>18.577494692144374</v>
      </c>
    </row>
    <row r="41" spans="7:13" ht="15.75">
      <c r="G41" s="91">
        <v>360</v>
      </c>
      <c r="H41" s="91">
        <f t="shared" si="8"/>
        <v>6.8</v>
      </c>
      <c r="I41" s="92">
        <f t="shared" si="9"/>
        <v>20.56390971092648</v>
      </c>
      <c r="J41" s="92">
        <f t="shared" si="10"/>
        <v>15.563909710926481</v>
      </c>
      <c r="K41" s="92">
        <f t="shared" si="13"/>
        <v>0.016726477736257735</v>
      </c>
      <c r="L41" s="92">
        <f t="shared" si="11"/>
        <v>127388.5350318471</v>
      </c>
      <c r="M41" s="93">
        <f t="shared" si="12"/>
        <v>19.108280254777068</v>
      </c>
    </row>
    <row r="42" spans="7:13" ht="15.75">
      <c r="G42" s="91">
        <v>370</v>
      </c>
      <c r="H42" s="91">
        <f t="shared" si="8"/>
        <v>6.6</v>
      </c>
      <c r="I42" s="92">
        <f t="shared" si="9"/>
        <v>21.32835159916094</v>
      </c>
      <c r="J42" s="92">
        <f t="shared" si="10"/>
        <v>16.32835159916094</v>
      </c>
      <c r="K42" s="92">
        <f t="shared" si="13"/>
        <v>0.01661229715360997</v>
      </c>
      <c r="L42" s="92">
        <f t="shared" si="11"/>
        <v>130927.10544939846</v>
      </c>
      <c r="M42" s="93">
        <f t="shared" si="12"/>
        <v>19.639065817409765</v>
      </c>
    </row>
    <row r="43" spans="7:13" ht="15.75">
      <c r="G43" s="91">
        <v>380</v>
      </c>
      <c r="H43" s="91">
        <f t="shared" si="8"/>
        <v>6.4</v>
      </c>
      <c r="I43" s="92">
        <f t="shared" si="9"/>
        <v>22.1084482494223</v>
      </c>
      <c r="J43" s="92">
        <f t="shared" si="10"/>
        <v>17.1084482494223</v>
      </c>
      <c r="K43" s="92">
        <f t="shared" si="13"/>
        <v>0.01650191032911331</v>
      </c>
      <c r="L43" s="92">
        <f t="shared" si="11"/>
        <v>134465.67586694978</v>
      </c>
      <c r="M43" s="93">
        <f t="shared" si="12"/>
        <v>20.169851380042463</v>
      </c>
    </row>
    <row r="44" spans="7:13" ht="15.75">
      <c r="G44" s="91">
        <v>390</v>
      </c>
      <c r="H44" s="91">
        <f t="shared" si="8"/>
        <v>6.2</v>
      </c>
      <c r="I44" s="92">
        <f t="shared" si="9"/>
        <v>22.9040956222288</v>
      </c>
      <c r="J44" s="92">
        <f t="shared" si="10"/>
        <v>17.9040956222288</v>
      </c>
      <c r="K44" s="92">
        <f t="shared" si="13"/>
        <v>0.016395096236135907</v>
      </c>
      <c r="L44" s="92">
        <f t="shared" si="11"/>
        <v>138004.24628450105</v>
      </c>
      <c r="M44" s="93">
        <f t="shared" si="12"/>
        <v>20.700636942675157</v>
      </c>
    </row>
    <row r="45" spans="7:13" ht="15.75">
      <c r="G45" s="91">
        <v>400</v>
      </c>
      <c r="H45" s="91">
        <v>6</v>
      </c>
      <c r="I45" s="92">
        <f t="shared" si="9"/>
        <v>23.715193046256115</v>
      </c>
      <c r="J45" s="92">
        <f t="shared" si="10"/>
        <v>18.715193046256115</v>
      </c>
      <c r="K45" s="92">
        <f t="shared" si="13"/>
        <v>0.016291651979614352</v>
      </c>
      <c r="L45" s="92">
        <f t="shared" si="11"/>
        <v>141542.81670205237</v>
      </c>
      <c r="M45" s="93">
        <f t="shared" si="12"/>
        <v>21.231422505307854</v>
      </c>
    </row>
    <row r="46" spans="7:13" ht="15.75">
      <c r="G46" s="91">
        <v>410</v>
      </c>
      <c r="H46" s="91">
        <f aca="true" t="shared" si="14" ref="H46:H54">H$45-(H$45-H$55)/(G$55-G$45)*(G46-G$45)</f>
        <v>5.73</v>
      </c>
      <c r="I46" s="92">
        <f t="shared" si="9"/>
        <v>24.541643026992055</v>
      </c>
      <c r="J46" s="92">
        <f t="shared" si="10"/>
        <v>19.541643026992055</v>
      </c>
      <c r="K46" s="92">
        <f t="shared" si="13"/>
        <v>0.016191390898814235</v>
      </c>
      <c r="L46" s="92">
        <f t="shared" si="11"/>
        <v>145081.38711960366</v>
      </c>
      <c r="M46" s="93">
        <f t="shared" si="12"/>
        <v>21.762208067940552</v>
      </c>
    </row>
    <row r="47" spans="7:13" ht="15.75">
      <c r="G47" s="91">
        <v>420</v>
      </c>
      <c r="H47" s="91">
        <f t="shared" si="14"/>
        <v>5.46</v>
      </c>
      <c r="I47" s="92">
        <f t="shared" si="9"/>
        <v>25.383351070708223</v>
      </c>
      <c r="J47" s="92">
        <f t="shared" si="10"/>
        <v>20.383351070708223</v>
      </c>
      <c r="K47" s="92">
        <f t="shared" si="13"/>
        <v>0.016094140909439714</v>
      </c>
      <c r="L47" s="92">
        <f t="shared" si="11"/>
        <v>148619.95753715496</v>
      </c>
      <c r="M47" s="93">
        <f t="shared" si="12"/>
        <v>22.292993630573246</v>
      </c>
    </row>
    <row r="48" spans="7:13" ht="15.75">
      <c r="G48" s="91">
        <v>430</v>
      </c>
      <c r="H48" s="91">
        <f t="shared" si="14"/>
        <v>5.1899999999999995</v>
      </c>
      <c r="I48" s="92">
        <f t="shared" si="9"/>
        <v>26.240225522183817</v>
      </c>
      <c r="J48" s="92">
        <f t="shared" si="10"/>
        <v>21.240225522183817</v>
      </c>
      <c r="K48" s="92">
        <f t="shared" si="13"/>
        <v>0.01599974304998771</v>
      </c>
      <c r="L48" s="92">
        <f t="shared" si="11"/>
        <v>152158.5279547063</v>
      </c>
      <c r="M48" s="93">
        <f t="shared" si="12"/>
        <v>22.823779193205944</v>
      </c>
    </row>
    <row r="49" spans="7:13" ht="15.75">
      <c r="G49" s="91">
        <v>440</v>
      </c>
      <c r="H49" s="91">
        <f t="shared" si="14"/>
        <v>4.92</v>
      </c>
      <c r="I49" s="92">
        <f t="shared" si="9"/>
        <v>27.112177414809093</v>
      </c>
      <c r="J49" s="92">
        <f t="shared" si="10"/>
        <v>22.112177414809093</v>
      </c>
      <c r="K49" s="92">
        <f t="shared" si="13"/>
        <v>0.01590805020307759</v>
      </c>
      <c r="L49" s="92">
        <f t="shared" si="11"/>
        <v>155697.09837225758</v>
      </c>
      <c r="M49" s="93">
        <f t="shared" si="12"/>
        <v>23.354564755838638</v>
      </c>
    </row>
    <row r="50" spans="7:13" ht="15.75">
      <c r="G50" s="91">
        <v>450</v>
      </c>
      <c r="H50" s="91">
        <f t="shared" si="14"/>
        <v>4.65</v>
      </c>
      <c r="I50" s="92">
        <f t="shared" si="9"/>
        <v>27.99912033186213</v>
      </c>
      <c r="J50" s="92">
        <f t="shared" si="10"/>
        <v>22.99912033186213</v>
      </c>
      <c r="K50" s="92">
        <f t="shared" si="13"/>
        <v>0.01581892596724419</v>
      </c>
      <c r="L50" s="92">
        <f t="shared" si="11"/>
        <v>159235.6687898089</v>
      </c>
      <c r="M50" s="93">
        <f t="shared" si="12"/>
        <v>23.885350318471335</v>
      </c>
    </row>
    <row r="51" spans="7:13" ht="15.75">
      <c r="G51" s="91">
        <v>460</v>
      </c>
      <c r="H51" s="91">
        <f t="shared" si="14"/>
        <v>4.38</v>
      </c>
      <c r="I51" s="92">
        <f t="shared" si="9"/>
        <v>28.900970277893528</v>
      </c>
      <c r="J51" s="92">
        <f t="shared" si="10"/>
        <v>23.900970277893528</v>
      </c>
      <c r="K51" s="92">
        <f t="shared" si="13"/>
        <v>0.015732243658577644</v>
      </c>
      <c r="L51" s="92">
        <f t="shared" si="11"/>
        <v>162774.23920736025</v>
      </c>
      <c r="M51" s="93">
        <f t="shared" si="12"/>
        <v>24.416135881104033</v>
      </c>
    </row>
    <row r="52" spans="7:13" ht="15.75">
      <c r="G52" s="91">
        <v>470</v>
      </c>
      <c r="H52" s="91">
        <f t="shared" si="14"/>
        <v>4.109999999999999</v>
      </c>
      <c r="I52" s="92">
        <f t="shared" si="9"/>
        <v>29.817645559277437</v>
      </c>
      <c r="J52" s="92">
        <f t="shared" si="10"/>
        <v>24.817645559277437</v>
      </c>
      <c r="K52" s="92">
        <f t="shared" si="13"/>
        <v>0.015647885424800712</v>
      </c>
      <c r="L52" s="92">
        <f t="shared" si="11"/>
        <v>166312.80962491152</v>
      </c>
      <c r="M52" s="93">
        <f t="shared" si="12"/>
        <v>24.946921443736727</v>
      </c>
    </row>
    <row r="53" spans="7:13" ht="15.75">
      <c r="G53" s="91">
        <v>480</v>
      </c>
      <c r="H53" s="91">
        <f t="shared" si="14"/>
        <v>3.84</v>
      </c>
      <c r="I53" s="92">
        <f t="shared" si="9"/>
        <v>30.74906667309251</v>
      </c>
      <c r="J53" s="92">
        <f t="shared" si="10"/>
        <v>25.74906667309251</v>
      </c>
      <c r="K53" s="92">
        <f t="shared" si="13"/>
        <v>0.015565741457024536</v>
      </c>
      <c r="L53" s="92">
        <f t="shared" si="11"/>
        <v>169851.38004246284</v>
      </c>
      <c r="M53" s="93">
        <f t="shared" si="12"/>
        <v>25.477707006369425</v>
      </c>
    </row>
    <row r="54" spans="7:13" ht="15.75">
      <c r="G54" s="91">
        <v>490</v>
      </c>
      <c r="H54" s="91">
        <f t="shared" si="14"/>
        <v>3.57</v>
      </c>
      <c r="I54" s="92">
        <f t="shared" si="9"/>
        <v>31.695156203589242</v>
      </c>
      <c r="J54" s="92">
        <f t="shared" si="10"/>
        <v>26.695156203589242</v>
      </c>
      <c r="K54" s="92">
        <f t="shared" si="13"/>
        <v>0.015485709286625494</v>
      </c>
      <c r="L54" s="92">
        <f t="shared" si="11"/>
        <v>173389.9504600141</v>
      </c>
      <c r="M54" s="93">
        <f t="shared" si="12"/>
        <v>26.008492569002115</v>
      </c>
    </row>
    <row r="55" spans="7:13" ht="15.75">
      <c r="G55" s="91">
        <v>500</v>
      </c>
      <c r="H55" s="91">
        <v>3.3</v>
      </c>
      <c r="I55" s="92">
        <f t="shared" si="9"/>
        <v>32.65583872558015</v>
      </c>
      <c r="J55" s="92">
        <f t="shared" si="10"/>
        <v>27.655838725580157</v>
      </c>
      <c r="K55" s="92">
        <f t="shared" si="13"/>
        <v>0.01540769315652025</v>
      </c>
      <c r="L55" s="92">
        <f t="shared" si="11"/>
        <v>176928.52087756546</v>
      </c>
      <c r="M55" s="93">
        <f t="shared" si="12"/>
        <v>26.539278131634816</v>
      </c>
    </row>
    <row r="56" spans="7:13" ht="15.75">
      <c r="G56" s="91">
        <v>510</v>
      </c>
      <c r="H56" s="91">
        <f>H$55-(H$55-H$58)/(G$58-G$55)*(G56-G$55)</f>
        <v>2.8666666666666667</v>
      </c>
      <c r="I56" s="92">
        <f t="shared" si="9"/>
        <v>33.63104071415962</v>
      </c>
      <c r="J56" s="92">
        <f t="shared" si="10"/>
        <v>28.631040714159617</v>
      </c>
      <c r="K56" s="92">
        <f t="shared" si="13"/>
        <v>0.015331603457652426</v>
      </c>
      <c r="L56" s="92">
        <f t="shared" si="11"/>
        <v>180467.0912951168</v>
      </c>
      <c r="M56" s="93">
        <f t="shared" si="12"/>
        <v>27.070063694267517</v>
      </c>
    </row>
    <row r="57" spans="7:13" ht="15.75">
      <c r="G57" s="91">
        <v>520</v>
      </c>
      <c r="H57" s="91">
        <f>H$55-(H$55-H$58)/(G$58-G$55)*(G57-G$55)</f>
        <v>2.433333333333333</v>
      </c>
      <c r="I57" s="92">
        <f t="shared" si="9"/>
        <v>34.620690460221766</v>
      </c>
      <c r="J57" s="92">
        <f t="shared" si="10"/>
        <v>29.62069046022177</v>
      </c>
      <c r="K57" s="92">
        <f t="shared" si="13"/>
        <v>0.015257356222794616</v>
      </c>
      <c r="L57" s="92">
        <f t="shared" si="11"/>
        <v>184005.66171266805</v>
      </c>
      <c r="M57" s="93">
        <f t="shared" si="12"/>
        <v>27.600849256900208</v>
      </c>
    </row>
    <row r="58" spans="7:13" ht="15.75">
      <c r="G58" s="91">
        <v>530</v>
      </c>
      <c r="H58" s="91">
        <v>2</v>
      </c>
      <c r="I58" s="92">
        <f t="shared" si="9"/>
        <v>35.62471799129898</v>
      </c>
      <c r="J58" s="92">
        <f t="shared" si="10"/>
        <v>30.624717991298983</v>
      </c>
      <c r="K58" s="92">
        <f t="shared" si="13"/>
        <v>0.015184872670857413</v>
      </c>
      <c r="L58" s="92">
        <f t="shared" si="11"/>
        <v>187544.23213021937</v>
      </c>
      <c r="M58" s="93">
        <f t="shared" si="12"/>
        <v>28.131634819532906</v>
      </c>
    </row>
    <row r="59" spans="7:13" ht="15.75">
      <c r="G59" s="91">
        <v>540</v>
      </c>
      <c r="H59" s="91"/>
      <c r="I59" s="92" t="e">
        <f t="shared" si="9"/>
        <v>#DIV/0!</v>
      </c>
      <c r="J59" s="92" t="e">
        <f t="shared" si="10"/>
        <v>#DIV/0!</v>
      </c>
      <c r="K59" s="92" t="e">
        <f t="shared" si="13"/>
        <v>#DIV/0!</v>
      </c>
      <c r="L59" s="92">
        <f t="shared" si="11"/>
        <v>0</v>
      </c>
      <c r="M59" s="93">
        <f>4*H60/60000/3.14/(C$5/1000)^2</f>
        <v>0</v>
      </c>
    </row>
    <row r="60" spans="7:13" ht="15.75">
      <c r="G60" s="91">
        <v>550</v>
      </c>
      <c r="H60" s="91"/>
      <c r="I60" s="92" t="e">
        <f t="shared" si="9"/>
        <v>#REF!</v>
      </c>
      <c r="J60" s="92" t="e">
        <f t="shared" si="10"/>
        <v>#REF!</v>
      </c>
      <c r="K60" s="92" t="e">
        <f t="shared" si="13"/>
        <v>#REF!</v>
      </c>
      <c r="L60" s="92" t="e">
        <f t="shared" si="11"/>
        <v>#REF!</v>
      </c>
      <c r="M60" s="93" t="e">
        <f>4*#REF!/60000/3.14/(C$5/1000)^2</f>
        <v>#REF!</v>
      </c>
    </row>
    <row r="61" spans="7:13" ht="15.75">
      <c r="G61" s="91"/>
      <c r="H61" s="91"/>
      <c r="I61" s="92" t="e">
        <f t="shared" si="9"/>
        <v>#DIV/0!</v>
      </c>
      <c r="J61" s="92" t="e">
        <f t="shared" si="10"/>
        <v>#DIV/0!</v>
      </c>
      <c r="K61" s="92" t="e">
        <f t="shared" si="13"/>
        <v>#DIV/0!</v>
      </c>
      <c r="L61" s="92">
        <f t="shared" si="11"/>
        <v>0</v>
      </c>
      <c r="M61" s="93">
        <f>4*H61/60000/3.14/(C$5/1000)^2</f>
        <v>0</v>
      </c>
    </row>
    <row r="62" spans="7:13" ht="15.75">
      <c r="G62" s="91"/>
      <c r="H62" s="91"/>
      <c r="I62" s="92" t="e">
        <f t="shared" si="9"/>
        <v>#DIV/0!</v>
      </c>
      <c r="J62" s="92" t="e">
        <f t="shared" si="10"/>
        <v>#DIV/0!</v>
      </c>
      <c r="K62" s="92" t="e">
        <f t="shared" si="13"/>
        <v>#DIV/0!</v>
      </c>
      <c r="L62" s="92">
        <f t="shared" si="11"/>
        <v>0</v>
      </c>
      <c r="M62" s="93">
        <f>4*H62/60000/3.14/(C$5/1000)^2</f>
        <v>0</v>
      </c>
    </row>
    <row r="63" spans="7:13" ht="15.75">
      <c r="G63" s="91"/>
      <c r="H63" s="91"/>
      <c r="I63" s="92" t="e">
        <f t="shared" si="9"/>
        <v>#DIV/0!</v>
      </c>
      <c r="J63" s="92" t="e">
        <f t="shared" si="10"/>
        <v>#DIV/0!</v>
      </c>
      <c r="K63" s="92" t="e">
        <f t="shared" si="13"/>
        <v>#DIV/0!</v>
      </c>
      <c r="L63" s="92">
        <f t="shared" si="11"/>
        <v>0</v>
      </c>
      <c r="M63" s="93">
        <f>4*H63/60000/3.14/(C$5/1000)^2</f>
        <v>0</v>
      </c>
    </row>
    <row r="64" spans="7:13" ht="15.75">
      <c r="G64" s="91"/>
      <c r="H64" s="91"/>
      <c r="I64" s="92" t="e">
        <f t="shared" si="9"/>
        <v>#DIV/0!</v>
      </c>
      <c r="J64" s="92" t="e">
        <f t="shared" si="10"/>
        <v>#DIV/0!</v>
      </c>
      <c r="K64" s="92" t="e">
        <f t="shared" si="13"/>
        <v>#DIV/0!</v>
      </c>
      <c r="L64" s="92">
        <f t="shared" si="11"/>
        <v>0</v>
      </c>
      <c r="M64" s="93">
        <f>4*H64/60000/3.14/(C$5/1000)^2</f>
        <v>0</v>
      </c>
    </row>
    <row r="65" spans="7:13" ht="15.75">
      <c r="G65" s="91"/>
      <c r="H65" s="91"/>
      <c r="I65" s="92" t="e">
        <f t="shared" si="9"/>
        <v>#DIV/0!</v>
      </c>
      <c r="J65" s="92" t="e">
        <f t="shared" si="10"/>
        <v>#DIV/0!</v>
      </c>
      <c r="K65" s="92" t="e">
        <f t="shared" si="13"/>
        <v>#DIV/0!</v>
      </c>
      <c r="L65" s="92">
        <f t="shared" si="11"/>
        <v>0</v>
      </c>
      <c r="M65" s="93">
        <f>4*H65/60000/3.14/(C$5/1000)^2</f>
        <v>0</v>
      </c>
    </row>
    <row r="66" spans="7:13" ht="15.75">
      <c r="G66" s="77"/>
      <c r="H66" s="77"/>
      <c r="I66" s="78"/>
      <c r="J66" s="78"/>
      <c r="K66" s="78"/>
      <c r="L66" s="78"/>
      <c r="M66" s="79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Corrado</cp:lastModifiedBy>
  <dcterms:created xsi:type="dcterms:W3CDTF">2010-07-20T14:12:20Z</dcterms:created>
  <dcterms:modified xsi:type="dcterms:W3CDTF">2010-07-20T14:12:20Z</dcterms:modified>
  <cp:category/>
  <cp:version/>
  <cp:contentType/>
  <cp:contentStatus/>
</cp:coreProperties>
</file>