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000" windowHeight="6570" firstSheet="1" activeTab="0"/>
  </bookViews>
  <sheets>
    <sheet name="Indice" sheetId="1" r:id="rId1"/>
    <sheet name="F211" sheetId="2" r:id="rId2"/>
    <sheet name="F212" sheetId="3" r:id="rId3"/>
    <sheet name="F213" sheetId="4" r:id="rId4"/>
    <sheet name="F214" sheetId="5" r:id="rId5"/>
    <sheet name="F221" sheetId="6" r:id="rId6"/>
    <sheet name="F222" sheetId="7" r:id="rId7"/>
    <sheet name="F271" sheetId="8" r:id="rId8"/>
    <sheet name="F272" sheetId="9" r:id="rId9"/>
    <sheet name="F281" sheetId="10" r:id="rId10"/>
    <sheet name="F282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7">'F271'!$A$3:$N$16</definedName>
    <definedName name="_xlnm.Print_Area" localSheetId="8">'F272'!$A$3:$L$29</definedName>
    <definedName name="Chiudi" localSheetId="2">'[2]Macro1'!$A$1</definedName>
    <definedName name="Chiudi" localSheetId="3">'[3]Macro1'!$A$1</definedName>
    <definedName name="Chiudi" localSheetId="4">'[4]Macro1'!$A$1</definedName>
    <definedName name="Chiudi" localSheetId="5">'[5]Macro1'!$A$1</definedName>
    <definedName name="Chiudi" localSheetId="6">'[6]Macro1'!$A$1</definedName>
    <definedName name="Chiudi" localSheetId="7">'[7]Macro1'!$A$1</definedName>
    <definedName name="Chiudi" localSheetId="8">'[8]Macro1'!$A$1</definedName>
    <definedName name="Chiudi" localSheetId="9">'[9]Macro1'!$A$1</definedName>
    <definedName name="Chiudi" localSheetId="10">'[10]Macro1'!$A$1</definedName>
    <definedName name="Chiudi">'[1]Macro1'!$A$1</definedName>
    <definedName name="goto">#REF!</definedName>
    <definedName name="Macro213">#REF!</definedName>
    <definedName name="Macro214">#REF!</definedName>
    <definedName name="MacroF211">#REF!</definedName>
    <definedName name="MacroF212">'Macro1'!$B$1</definedName>
    <definedName name="MacroF213">#REF!</definedName>
  </definedNames>
  <calcPr fullCalcOnLoad="1"/>
</workbook>
</file>

<file path=xl/sharedStrings.xml><?xml version="1.0" encoding="utf-8"?>
<sst xmlns="http://schemas.openxmlformats.org/spreadsheetml/2006/main" count="437" uniqueCount="189">
  <si>
    <t>TECNOLOGIE CHIMICHE INDUSTRIALI</t>
  </si>
  <si>
    <t>Volume secondo</t>
  </si>
  <si>
    <t>S.Natoli,    M.Calatozzolo,    P.Merendino</t>
  </si>
  <si>
    <t>Capitolo 1, foglio 1</t>
  </si>
  <si>
    <t>Capitolo 1, foglio 2</t>
  </si>
  <si>
    <t>Capitolo 1, foglio 3</t>
  </si>
  <si>
    <t>Capitolo 1, foglio 4</t>
  </si>
  <si>
    <t>Capitolo 2, foglio 1</t>
  </si>
  <si>
    <t>Capitolo 2, foglio 2</t>
  </si>
  <si>
    <t>Capitolo 7, foglio 1</t>
  </si>
  <si>
    <t>Capitolo 7, foglio 2</t>
  </si>
  <si>
    <t>Capitolo 8, foglio 1</t>
  </si>
  <si>
    <t>Capitolo 8, foglio 2</t>
  </si>
  <si>
    <t>MacroF211</t>
  </si>
  <si>
    <t>MacroF212</t>
  </si>
  <si>
    <t>MacroF213</t>
  </si>
  <si>
    <t>MacroF214</t>
  </si>
  <si>
    <t>MacroF221</t>
  </si>
  <si>
    <t>MacroF222</t>
  </si>
  <si>
    <t>MacroF271</t>
  </si>
  <si>
    <t>MacroF272</t>
  </si>
  <si>
    <t>MacroF281</t>
  </si>
  <si>
    <t>MacroF282</t>
  </si>
  <si>
    <t>Indice</t>
  </si>
  <si>
    <t>Benzene</t>
  </si>
  <si>
    <t>Temp.</t>
  </si>
  <si>
    <r>
      <t>T</t>
    </r>
    <r>
      <rPr>
        <vertAlign val="subscript"/>
        <sz val="8"/>
        <color indexed="12"/>
        <rFont val="Times New Roman"/>
        <family val="1"/>
      </rPr>
      <t>1</t>
    </r>
  </si>
  <si>
    <r>
      <t>T</t>
    </r>
    <r>
      <rPr>
        <vertAlign val="subscript"/>
        <sz val="8"/>
        <color indexed="12"/>
        <rFont val="Times New Roman"/>
        <family val="1"/>
      </rPr>
      <t>2</t>
    </r>
  </si>
  <si>
    <t>Conducibilità</t>
  </si>
  <si>
    <t>Calore specifico</t>
  </si>
  <si>
    <t>Viscosità</t>
  </si>
  <si>
    <t>Toluene</t>
  </si>
  <si>
    <t>Acqua</t>
  </si>
  <si>
    <t>Etilbenzene</t>
  </si>
  <si>
    <t>Grandezze fisiche</t>
  </si>
  <si>
    <t>Geometria del sistema</t>
  </si>
  <si>
    <t>Diametri in pollici</t>
  </si>
  <si>
    <t>interno</t>
  </si>
  <si>
    <t>esterno</t>
  </si>
  <si>
    <t>Lato tubo</t>
  </si>
  <si>
    <t>Lato anello</t>
  </si>
  <si>
    <t>Lunghezza hairpin</t>
  </si>
  <si>
    <t>in m</t>
  </si>
  <si>
    <t>Superficie hairpin</t>
  </si>
  <si>
    <r>
      <t>m</t>
    </r>
    <r>
      <rPr>
        <vertAlign val="superscript"/>
        <sz val="8"/>
        <color indexed="12"/>
        <rFont val="Times New Roman"/>
        <family val="1"/>
      </rPr>
      <t>2</t>
    </r>
  </si>
  <si>
    <t>Portate, temperature e sporcamento</t>
  </si>
  <si>
    <t>Portata</t>
  </si>
  <si>
    <r>
      <t>T</t>
    </r>
    <r>
      <rPr>
        <vertAlign val="subscript"/>
        <sz val="8"/>
        <color indexed="12"/>
        <rFont val="Times New Roman"/>
        <family val="1"/>
      </rPr>
      <t>in</t>
    </r>
  </si>
  <si>
    <r>
      <t>T</t>
    </r>
    <r>
      <rPr>
        <vertAlign val="subscript"/>
        <sz val="8"/>
        <color indexed="12"/>
        <rFont val="Times New Roman"/>
        <family val="1"/>
      </rPr>
      <t>us</t>
    </r>
  </si>
  <si>
    <r>
      <t>R</t>
    </r>
    <r>
      <rPr>
        <vertAlign val="subscript"/>
        <sz val="8"/>
        <color indexed="12"/>
        <rFont val="Times New Roman"/>
        <family val="1"/>
      </rPr>
      <t>d</t>
    </r>
  </si>
  <si>
    <t>Portate in kg/h; temperature in °C; densità in kg/litro</t>
  </si>
  <si>
    <t>Calcolo sezioni e diametri</t>
  </si>
  <si>
    <t>Sezione lato tubo</t>
  </si>
  <si>
    <t>Sezione lato anello</t>
  </si>
  <si>
    <r>
      <t>D</t>
    </r>
    <r>
      <rPr>
        <sz val="12"/>
        <color indexed="12"/>
        <rFont val="Times New Roman"/>
        <family val="1"/>
      </rPr>
      <t>T</t>
    </r>
    <r>
      <rPr>
        <vertAlign val="subscript"/>
        <sz val="8"/>
        <color indexed="12"/>
        <rFont val="Times New Roman"/>
        <family val="1"/>
      </rPr>
      <t>ml</t>
    </r>
    <r>
      <rPr>
        <sz val="12"/>
        <color indexed="12"/>
        <rFont val="Times New Roman"/>
        <family val="1"/>
      </rPr>
      <t xml:space="preserve"> =</t>
    </r>
  </si>
  <si>
    <t>Deq lato anello</t>
  </si>
  <si>
    <t>m</t>
  </si>
  <si>
    <t>D lato tubo</t>
  </si>
  <si>
    <t>Soluzione 1</t>
  </si>
  <si>
    <t>Re</t>
  </si>
  <si>
    <t>Pr</t>
  </si>
  <si>
    <t>h</t>
  </si>
  <si>
    <t>Benzene lato tubo</t>
  </si>
  <si>
    <t>Toluene lato anello</t>
  </si>
  <si>
    <r>
      <t>U</t>
    </r>
    <r>
      <rPr>
        <vertAlign val="subscript"/>
        <sz val="8"/>
        <color indexed="12"/>
        <rFont val="Times New Roman"/>
        <family val="1"/>
      </rPr>
      <t>c</t>
    </r>
    <r>
      <rPr>
        <sz val="12"/>
        <color indexed="12"/>
        <rFont val="Times New Roman"/>
        <family val="1"/>
      </rPr>
      <t xml:space="preserve"> =</t>
    </r>
  </si>
  <si>
    <r>
      <t>U</t>
    </r>
    <r>
      <rPr>
        <vertAlign val="subscript"/>
        <sz val="8"/>
        <color indexed="12"/>
        <rFont val="Times New Roman"/>
        <family val="1"/>
      </rPr>
      <t>d</t>
    </r>
    <r>
      <rPr>
        <sz val="12"/>
        <color indexed="12"/>
        <rFont val="Times New Roman"/>
        <family val="1"/>
      </rPr>
      <t xml:space="preserve"> =</t>
    </r>
  </si>
  <si>
    <t>A =</t>
  </si>
  <si>
    <t>N =</t>
  </si>
  <si>
    <t>Area corretta =</t>
  </si>
  <si>
    <t>Soluzione 2</t>
  </si>
  <si>
    <t>Toluene lato tubo</t>
  </si>
  <si>
    <t>Benzene lato anello</t>
  </si>
  <si>
    <r>
      <t>T</t>
    </r>
    <r>
      <rPr>
        <vertAlign val="subscript"/>
        <sz val="8"/>
        <color indexed="18"/>
        <rFont val="Times New Roman"/>
        <family val="1"/>
      </rPr>
      <t>1</t>
    </r>
  </si>
  <si>
    <r>
      <t>T</t>
    </r>
    <r>
      <rPr>
        <vertAlign val="subscript"/>
        <sz val="8"/>
        <color indexed="18"/>
        <rFont val="Times New Roman"/>
        <family val="1"/>
      </rPr>
      <t>2</t>
    </r>
  </si>
  <si>
    <r>
      <t>m</t>
    </r>
    <r>
      <rPr>
        <vertAlign val="superscript"/>
        <sz val="8"/>
        <color indexed="18"/>
        <rFont val="Times New Roman"/>
        <family val="1"/>
      </rPr>
      <t>2</t>
    </r>
  </si>
  <si>
    <r>
      <t>Densità (kg/m</t>
    </r>
    <r>
      <rPr>
        <vertAlign val="superscript"/>
        <sz val="8"/>
        <color indexed="18"/>
        <rFont val="Times New Roman"/>
        <family val="1"/>
      </rPr>
      <t>3</t>
    </r>
    <r>
      <rPr>
        <sz val="12"/>
        <color indexed="18"/>
        <rFont val="Times New Roman"/>
        <family val="1"/>
      </rPr>
      <t>)</t>
    </r>
  </si>
  <si>
    <t>Portata (kg/h)</t>
  </si>
  <si>
    <r>
      <t>T</t>
    </r>
    <r>
      <rPr>
        <vertAlign val="subscript"/>
        <sz val="8"/>
        <color indexed="18"/>
        <rFont val="Times New Roman"/>
        <family val="1"/>
      </rPr>
      <t>in</t>
    </r>
  </si>
  <si>
    <r>
      <t>T</t>
    </r>
    <r>
      <rPr>
        <vertAlign val="subscript"/>
        <sz val="8"/>
        <color indexed="18"/>
        <rFont val="Times New Roman"/>
        <family val="1"/>
      </rPr>
      <t>us</t>
    </r>
  </si>
  <si>
    <r>
      <t>R</t>
    </r>
    <r>
      <rPr>
        <vertAlign val="subscript"/>
        <sz val="8"/>
        <color indexed="18"/>
        <rFont val="Times New Roman"/>
        <family val="1"/>
      </rPr>
      <t>d</t>
    </r>
  </si>
  <si>
    <r>
      <t>D</t>
    </r>
    <r>
      <rPr>
        <sz val="12"/>
        <color indexed="18"/>
        <rFont val="Times New Roman"/>
        <family val="1"/>
      </rPr>
      <t>T</t>
    </r>
    <r>
      <rPr>
        <vertAlign val="subscript"/>
        <sz val="8"/>
        <color indexed="18"/>
        <rFont val="Times New Roman"/>
        <family val="1"/>
      </rPr>
      <t>ml</t>
    </r>
    <r>
      <rPr>
        <sz val="12"/>
        <color indexed="18"/>
        <rFont val="Times New Roman"/>
        <family val="1"/>
      </rPr>
      <t xml:space="preserve"> =</t>
    </r>
  </si>
  <si>
    <t>v</t>
  </si>
  <si>
    <t>f</t>
  </si>
  <si>
    <r>
      <t>S</t>
    </r>
    <r>
      <rPr>
        <sz val="12"/>
        <color indexed="18"/>
        <rFont val="Times New Roman"/>
        <family val="1"/>
      </rPr>
      <t>y (m.c.l.)</t>
    </r>
  </si>
  <si>
    <r>
      <t>U</t>
    </r>
    <r>
      <rPr>
        <vertAlign val="subscript"/>
        <sz val="8"/>
        <color indexed="18"/>
        <rFont val="Times New Roman"/>
        <family val="1"/>
      </rPr>
      <t>c</t>
    </r>
    <r>
      <rPr>
        <sz val="12"/>
        <color indexed="18"/>
        <rFont val="Times New Roman"/>
        <family val="1"/>
      </rPr>
      <t xml:space="preserve"> =</t>
    </r>
  </si>
  <si>
    <r>
      <t>U</t>
    </r>
    <r>
      <rPr>
        <vertAlign val="subscript"/>
        <sz val="8"/>
        <color indexed="18"/>
        <rFont val="Times New Roman"/>
        <family val="1"/>
      </rPr>
      <t>d</t>
    </r>
    <r>
      <rPr>
        <sz val="12"/>
        <color indexed="18"/>
        <rFont val="Times New Roman"/>
        <family val="1"/>
      </rPr>
      <t xml:space="preserve"> =</t>
    </r>
  </si>
  <si>
    <r>
      <t>DT</t>
    </r>
    <r>
      <rPr>
        <vertAlign val="subscript"/>
        <sz val="8"/>
        <color indexed="12"/>
        <rFont val="Times New Roman"/>
        <family val="1"/>
      </rPr>
      <t>ml</t>
    </r>
    <r>
      <rPr>
        <sz val="12"/>
        <color indexed="12"/>
        <rFont val="Times New Roman"/>
        <family val="1"/>
      </rPr>
      <t xml:space="preserve"> =</t>
    </r>
  </si>
  <si>
    <t>Acqua lato tubo</t>
  </si>
  <si>
    <t>Etilbenzene lato anello</t>
  </si>
  <si>
    <t>Etilbenzene lato tubo</t>
  </si>
  <si>
    <t>Acqua lato anello</t>
  </si>
  <si>
    <t>Dati da inserire</t>
  </si>
  <si>
    <t>Portata alimentazione</t>
  </si>
  <si>
    <t>kg/h</t>
  </si>
  <si>
    <t>Concentrazione Alimentazione</t>
  </si>
  <si>
    <t>% massa</t>
  </si>
  <si>
    <t>Temperatura alimentazione</t>
  </si>
  <si>
    <t>°C</t>
  </si>
  <si>
    <t>Concentrazione prodotto</t>
  </si>
  <si>
    <t>Temperatura del concentratore</t>
  </si>
  <si>
    <t>Calore latente del vapore di rete</t>
  </si>
  <si>
    <t>kcal/kg</t>
  </si>
  <si>
    <t>Entalpia del vapore</t>
  </si>
  <si>
    <t>Temperatura acqua al condensatore</t>
  </si>
  <si>
    <t>C</t>
  </si>
  <si>
    <t>H</t>
  </si>
  <si>
    <t>Eccesso d'aria (%)</t>
  </si>
  <si>
    <t>Portate dei fumi</t>
  </si>
  <si>
    <t>Comp.</t>
  </si>
  <si>
    <t>%</t>
  </si>
  <si>
    <r>
      <t>CO</t>
    </r>
    <r>
      <rPr>
        <vertAlign val="subscript"/>
        <sz val="12"/>
        <color indexed="12"/>
        <rFont val="Times New Roman"/>
        <family val="1"/>
      </rPr>
      <t>2</t>
    </r>
  </si>
  <si>
    <t>Peso molecolare idrocarburo</t>
  </si>
  <si>
    <r>
      <t>H</t>
    </r>
    <r>
      <rPr>
        <vertAlign val="subscript"/>
        <sz val="12"/>
        <color indexed="12"/>
        <rFont val="Times New Roman"/>
        <family val="1"/>
      </rPr>
      <t>2</t>
    </r>
    <r>
      <rPr>
        <sz val="18"/>
        <color indexed="12"/>
        <rFont val="Times New Roman"/>
        <family val="1"/>
      </rPr>
      <t>O</t>
    </r>
  </si>
  <si>
    <t>Portata in kmol/h</t>
  </si>
  <si>
    <r>
      <t>O</t>
    </r>
    <r>
      <rPr>
        <vertAlign val="subscript"/>
        <sz val="12"/>
        <color indexed="12"/>
        <rFont val="Times New Roman"/>
        <family val="1"/>
      </rPr>
      <t>2</t>
    </r>
  </si>
  <si>
    <r>
      <t>N</t>
    </r>
    <r>
      <rPr>
        <vertAlign val="subscript"/>
        <sz val="12"/>
        <color indexed="12"/>
        <rFont val="Times New Roman"/>
        <family val="1"/>
      </rPr>
      <t>2</t>
    </r>
  </si>
  <si>
    <t xml:space="preserve">Formula </t>
  </si>
  <si>
    <t>Peso molecolare</t>
  </si>
  <si>
    <t>Portata in kmoli/h</t>
  </si>
  <si>
    <t>Eccesso</t>
  </si>
  <si>
    <t>Percentuali</t>
  </si>
  <si>
    <t>Portate in massa</t>
  </si>
  <si>
    <t>d'aria</t>
  </si>
  <si>
    <r>
      <t>CO</t>
    </r>
    <r>
      <rPr>
        <vertAlign val="subscript"/>
        <sz val="8"/>
        <color indexed="12"/>
        <rFont val="Times New Roman"/>
        <family val="1"/>
      </rPr>
      <t>2</t>
    </r>
  </si>
  <si>
    <r>
      <t>H</t>
    </r>
    <r>
      <rPr>
        <vertAlign val="subscript"/>
        <sz val="8"/>
        <color indexed="12"/>
        <rFont val="Times New Roman"/>
        <family val="1"/>
      </rPr>
      <t>2</t>
    </r>
    <r>
      <rPr>
        <sz val="10"/>
        <color indexed="12"/>
        <rFont val="Times New Roman"/>
        <family val="1"/>
      </rPr>
      <t>O</t>
    </r>
  </si>
  <si>
    <r>
      <t>O</t>
    </r>
    <r>
      <rPr>
        <vertAlign val="subscript"/>
        <sz val="8"/>
        <color indexed="12"/>
        <rFont val="Times New Roman"/>
        <family val="1"/>
      </rPr>
      <t>2</t>
    </r>
  </si>
  <si>
    <r>
      <t>N</t>
    </r>
    <r>
      <rPr>
        <vertAlign val="subscript"/>
        <sz val="8"/>
        <color indexed="12"/>
        <rFont val="Times New Roman"/>
        <family val="1"/>
      </rPr>
      <t>2</t>
    </r>
  </si>
  <si>
    <r>
      <t>H</t>
    </r>
    <r>
      <rPr>
        <vertAlign val="subscript"/>
        <sz val="8"/>
        <rFont val="Times New Roman"/>
        <family val="1"/>
      </rPr>
      <t>2</t>
    </r>
  </si>
  <si>
    <r>
      <t>N</t>
    </r>
    <r>
      <rPr>
        <vertAlign val="subscript"/>
        <sz val="8"/>
        <rFont val="Times New Roman"/>
        <family val="1"/>
      </rPr>
      <t>2</t>
    </r>
  </si>
  <si>
    <r>
      <t>O</t>
    </r>
    <r>
      <rPr>
        <vertAlign val="subscript"/>
        <sz val="8"/>
        <rFont val="Times New Roman"/>
        <family val="1"/>
      </rPr>
      <t>2</t>
    </r>
  </si>
  <si>
    <t>CO</t>
  </si>
  <si>
    <r>
      <t>CO</t>
    </r>
    <r>
      <rPr>
        <vertAlign val="subscript"/>
        <sz val="8"/>
        <rFont val="Times New Roman"/>
        <family val="1"/>
      </rPr>
      <t>2</t>
    </r>
  </si>
  <si>
    <t>NO</t>
  </si>
  <si>
    <r>
      <t>NO</t>
    </r>
    <r>
      <rPr>
        <vertAlign val="subscript"/>
        <sz val="8"/>
        <rFont val="Times New Roman"/>
        <family val="1"/>
      </rPr>
      <t>2</t>
    </r>
  </si>
  <si>
    <r>
      <t>N</t>
    </r>
    <r>
      <rPr>
        <vertAlign val="subscript"/>
        <sz val="8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8"/>
        <rFont val="Times New Roman"/>
        <family val="1"/>
      </rPr>
      <t>4</t>
    </r>
  </si>
  <si>
    <r>
      <t>NH</t>
    </r>
    <r>
      <rPr>
        <vertAlign val="subscript"/>
        <sz val="8"/>
        <rFont val="Times New Roman"/>
        <family val="1"/>
      </rPr>
      <t>3</t>
    </r>
  </si>
  <si>
    <r>
      <t>H</t>
    </r>
    <r>
      <rPr>
        <vertAlign val="subscript"/>
        <sz val="8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</si>
  <si>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SO</t>
    </r>
    <r>
      <rPr>
        <vertAlign val="subscript"/>
        <sz val="8"/>
        <rFont val="Times New Roman"/>
        <family val="1"/>
      </rPr>
      <t>2</t>
    </r>
  </si>
  <si>
    <r>
      <t>SO</t>
    </r>
    <r>
      <rPr>
        <vertAlign val="subscript"/>
        <sz val="8"/>
        <rFont val="Times New Roman"/>
        <family val="1"/>
      </rPr>
      <t>3</t>
    </r>
  </si>
  <si>
    <r>
      <t>CH</t>
    </r>
    <r>
      <rPr>
        <vertAlign val="subscript"/>
        <sz val="8"/>
        <rFont val="Times New Roman"/>
        <family val="1"/>
      </rPr>
      <t>4</t>
    </r>
  </si>
  <si>
    <r>
      <t>C</t>
    </r>
    <r>
      <rPr>
        <vertAlign val="subscript"/>
        <sz val="8"/>
        <rFont val="Times New Roman"/>
        <family val="1"/>
      </rPr>
      <t>2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6</t>
    </r>
  </si>
  <si>
    <r>
      <t>C</t>
    </r>
    <r>
      <rPr>
        <vertAlign val="subscript"/>
        <sz val="8"/>
        <rFont val="Times New Roman"/>
        <family val="1"/>
      </rPr>
      <t>3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</si>
  <si>
    <r>
      <t>n-C</t>
    </r>
    <r>
      <rPr>
        <vertAlign val="subscript"/>
        <sz val="8"/>
        <rFont val="Times New Roman"/>
        <family val="1"/>
      </rPr>
      <t>4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10</t>
    </r>
  </si>
  <si>
    <r>
      <t>i-C</t>
    </r>
    <r>
      <rPr>
        <vertAlign val="subscript"/>
        <sz val="8"/>
        <rFont val="Times New Roman"/>
        <family val="1"/>
      </rPr>
      <t>4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10</t>
    </r>
  </si>
  <si>
    <r>
      <t>n-C</t>
    </r>
    <r>
      <rPr>
        <vertAlign val="subscript"/>
        <sz val="8"/>
        <rFont val="Times New Roman"/>
        <family val="1"/>
      </rPr>
      <t>5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12</t>
    </r>
  </si>
  <si>
    <r>
      <t>n-C</t>
    </r>
    <r>
      <rPr>
        <vertAlign val="subscript"/>
        <sz val="8"/>
        <rFont val="Times New Roman"/>
        <family val="1"/>
      </rPr>
      <t>6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14</t>
    </r>
  </si>
  <si>
    <r>
      <t>c-C</t>
    </r>
    <r>
      <rPr>
        <vertAlign val="subscript"/>
        <sz val="8"/>
        <rFont val="Times New Roman"/>
        <family val="1"/>
      </rPr>
      <t>6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12</t>
    </r>
  </si>
  <si>
    <r>
      <t>C</t>
    </r>
    <r>
      <rPr>
        <vertAlign val="subscript"/>
        <sz val="8"/>
        <rFont val="Times New Roman"/>
        <family val="1"/>
      </rPr>
      <t>2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4</t>
    </r>
  </si>
  <si>
    <r>
      <t>C</t>
    </r>
    <r>
      <rPr>
        <vertAlign val="subscript"/>
        <sz val="8"/>
        <rFont val="Times New Roman"/>
        <family val="1"/>
      </rPr>
      <t>3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6</t>
    </r>
  </si>
  <si>
    <r>
      <t>C</t>
    </r>
    <r>
      <rPr>
        <vertAlign val="subscript"/>
        <sz val="8"/>
        <rFont val="Times New Roman"/>
        <family val="1"/>
      </rPr>
      <t>6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6</t>
    </r>
  </si>
  <si>
    <r>
      <t>C</t>
    </r>
    <r>
      <rPr>
        <vertAlign val="subscript"/>
        <sz val="8"/>
        <rFont val="Times New Roman"/>
        <family val="1"/>
      </rPr>
      <t>7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</si>
  <si>
    <r>
      <t>C</t>
    </r>
    <r>
      <rPr>
        <vertAlign val="subscript"/>
        <sz val="8"/>
        <rFont val="Times New Roman"/>
        <family val="1"/>
      </rPr>
      <t>8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10</t>
    </r>
  </si>
  <si>
    <r>
      <t>C</t>
    </r>
    <r>
      <rPr>
        <vertAlign val="subscript"/>
        <sz val="8"/>
        <rFont val="Times New Roman"/>
        <family val="1"/>
      </rPr>
      <t>9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12</t>
    </r>
  </si>
  <si>
    <r>
      <t>oxC</t>
    </r>
    <r>
      <rPr>
        <vertAlign val="subscript"/>
        <sz val="8"/>
        <rFont val="Times New Roman"/>
        <family val="1"/>
      </rPr>
      <t>8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10</t>
    </r>
  </si>
  <si>
    <r>
      <t>mxC</t>
    </r>
    <r>
      <rPr>
        <vertAlign val="subscript"/>
        <sz val="8"/>
        <rFont val="Times New Roman"/>
        <family val="1"/>
      </rPr>
      <t>8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10</t>
    </r>
  </si>
  <si>
    <r>
      <t>pxC</t>
    </r>
    <r>
      <rPr>
        <vertAlign val="subscript"/>
        <sz val="8"/>
        <rFont val="Times New Roman"/>
        <family val="1"/>
      </rPr>
      <t>8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10</t>
    </r>
  </si>
  <si>
    <r>
      <t>C</t>
    </r>
    <r>
      <rPr>
        <vertAlign val="subscript"/>
        <sz val="8"/>
        <rFont val="Times New Roman"/>
        <family val="1"/>
      </rPr>
      <t>8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8</t>
    </r>
  </si>
  <si>
    <r>
      <t>CH</t>
    </r>
    <r>
      <rPr>
        <vertAlign val="subscript"/>
        <sz val="8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</si>
  <si>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>CH</t>
    </r>
    <r>
      <rPr>
        <vertAlign val="subscript"/>
        <sz val="8"/>
        <rFont val="Times New Roman"/>
        <family val="1"/>
      </rPr>
      <t>3</t>
    </r>
    <r>
      <rPr>
        <sz val="10"/>
        <rFont val="Times New Roman"/>
        <family val="1"/>
      </rPr>
      <t>OH</t>
    </r>
  </si>
  <si>
    <r>
      <t>C</t>
    </r>
    <r>
      <rPr>
        <vertAlign val="subscript"/>
        <sz val="8"/>
        <rFont val="Times New Roman"/>
        <family val="1"/>
      </rPr>
      <t>2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5</t>
    </r>
    <r>
      <rPr>
        <sz val="10"/>
        <rFont val="Times New Roman"/>
        <family val="1"/>
      </rPr>
      <t>OH</t>
    </r>
  </si>
  <si>
    <r>
      <t>C</t>
    </r>
    <r>
      <rPr>
        <vertAlign val="subscript"/>
        <sz val="8"/>
        <rFont val="Times New Roman"/>
        <family val="1"/>
      </rPr>
      <t>2</t>
    </r>
    <r>
      <rPr>
        <sz val="10"/>
        <rFont val="Times New Roman"/>
        <family val="1"/>
      </rPr>
      <t>H</t>
    </r>
    <r>
      <rPr>
        <vertAlign val="subscript"/>
        <sz val="8"/>
        <rFont val="Times New Roman"/>
        <family val="1"/>
      </rPr>
      <t>4</t>
    </r>
    <r>
      <rPr>
        <sz val="10"/>
        <rFont val="Times New Roman"/>
        <family val="1"/>
      </rPr>
      <t>O</t>
    </r>
  </si>
  <si>
    <t>Temp (K)=</t>
  </si>
  <si>
    <t>+</t>
  </si>
  <si>
    <t>=</t>
  </si>
  <si>
    <r>
      <t>D</t>
    </r>
    <r>
      <rPr>
        <sz val="10"/>
        <rFont val="Times New Roman"/>
        <family val="1"/>
      </rPr>
      <t>H°</t>
    </r>
    <r>
      <rPr>
        <vertAlign val="subscript"/>
        <sz val="8"/>
        <rFont val="Times New Roman"/>
        <family val="1"/>
      </rPr>
      <t xml:space="preserve">298 </t>
    </r>
    <r>
      <rPr>
        <sz val="10"/>
        <rFont val="Times New Roman"/>
        <family val="1"/>
      </rPr>
      <t>=</t>
    </r>
  </si>
  <si>
    <r>
      <t>D</t>
    </r>
    <r>
      <rPr>
        <sz val="10"/>
        <rFont val="Times New Roman"/>
        <family val="1"/>
      </rPr>
      <t>H°</t>
    </r>
    <r>
      <rPr>
        <vertAlign val="subscript"/>
        <sz val="8"/>
        <rFont val="Times New Roman"/>
        <family val="1"/>
      </rPr>
      <t xml:space="preserve">T </t>
    </r>
    <r>
      <rPr>
        <sz val="10"/>
        <rFont val="Times New Roman"/>
        <family val="1"/>
      </rPr>
      <t>=</t>
    </r>
  </si>
  <si>
    <r>
      <t>D</t>
    </r>
    <r>
      <rPr>
        <sz val="10"/>
        <rFont val="Times New Roman"/>
        <family val="1"/>
      </rPr>
      <t>S°</t>
    </r>
    <r>
      <rPr>
        <vertAlign val="subscript"/>
        <sz val="8"/>
        <rFont val="Times New Roman"/>
        <family val="1"/>
      </rPr>
      <t>298</t>
    </r>
    <r>
      <rPr>
        <sz val="10"/>
        <rFont val="Times New Roman"/>
        <family val="1"/>
      </rPr>
      <t>=</t>
    </r>
  </si>
  <si>
    <r>
      <t>D</t>
    </r>
    <r>
      <rPr>
        <sz val="10"/>
        <rFont val="Times New Roman"/>
        <family val="1"/>
      </rPr>
      <t>S°</t>
    </r>
    <r>
      <rPr>
        <vertAlign val="subscript"/>
        <sz val="8"/>
        <rFont val="Times New Roman"/>
        <family val="1"/>
      </rPr>
      <t xml:space="preserve">T </t>
    </r>
    <r>
      <rPr>
        <sz val="10"/>
        <rFont val="Times New Roman"/>
        <family val="1"/>
      </rPr>
      <t>=</t>
    </r>
  </si>
  <si>
    <r>
      <t>D</t>
    </r>
    <r>
      <rPr>
        <sz val="10"/>
        <rFont val="Times New Roman"/>
        <family val="1"/>
      </rPr>
      <t>G°</t>
    </r>
    <r>
      <rPr>
        <vertAlign val="subscript"/>
        <sz val="8"/>
        <rFont val="Times New Roman"/>
        <family val="1"/>
      </rPr>
      <t xml:space="preserve">298 </t>
    </r>
    <r>
      <rPr>
        <sz val="10"/>
        <rFont val="Times New Roman"/>
        <family val="1"/>
      </rPr>
      <t>=</t>
    </r>
  </si>
  <si>
    <r>
      <t>D</t>
    </r>
    <r>
      <rPr>
        <sz val="10"/>
        <rFont val="Times New Roman"/>
        <family val="1"/>
      </rPr>
      <t>G°</t>
    </r>
    <r>
      <rPr>
        <vertAlign val="subscript"/>
        <sz val="8"/>
        <rFont val="Times New Roman"/>
        <family val="1"/>
      </rPr>
      <t xml:space="preserve">T </t>
    </r>
    <r>
      <rPr>
        <sz val="10"/>
        <rFont val="Times New Roman"/>
        <family val="1"/>
      </rPr>
      <t>=</t>
    </r>
  </si>
  <si>
    <t>a</t>
  </si>
  <si>
    <t>b</t>
  </si>
  <si>
    <t>c</t>
  </si>
  <si>
    <t>S</t>
  </si>
  <si>
    <t>G</t>
  </si>
  <si>
    <r>
      <t>D</t>
    </r>
    <r>
      <rPr>
        <sz val="10"/>
        <color indexed="12"/>
        <rFont val="Times New Roman"/>
        <family val="1"/>
      </rPr>
      <t>a =</t>
    </r>
  </si>
  <si>
    <r>
      <t>D</t>
    </r>
    <r>
      <rPr>
        <sz val="10"/>
        <color indexed="12"/>
        <rFont val="Times New Roman"/>
        <family val="1"/>
      </rPr>
      <t>b =</t>
    </r>
  </si>
  <si>
    <r>
      <t>D</t>
    </r>
    <r>
      <rPr>
        <sz val="10"/>
        <color indexed="12"/>
        <rFont val="Times New Roman"/>
        <family val="1"/>
      </rPr>
      <t>c =</t>
    </r>
  </si>
  <si>
    <t>Da =</t>
  </si>
  <si>
    <t>Db =</t>
  </si>
  <si>
    <t>DH°</t>
  </si>
  <si>
    <r>
      <t>Dc</t>
    </r>
    <r>
      <rPr>
        <vertAlign val="subscript"/>
        <sz val="8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</si>
  <si>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r>
      <t>DH°</t>
    </r>
    <r>
      <rPr>
        <vertAlign val="subscript"/>
        <sz val="8"/>
        <rFont val="Times New Roman"/>
        <family val="1"/>
      </rPr>
      <t xml:space="preserve">298 </t>
    </r>
    <r>
      <rPr>
        <sz val="10"/>
        <rFont val="Times New Roman"/>
        <family val="1"/>
      </rPr>
      <t>=</t>
    </r>
  </si>
  <si>
    <t>DG°</t>
  </si>
  <si>
    <r>
      <t>DS°</t>
    </r>
    <r>
      <rPr>
        <vertAlign val="subscript"/>
        <sz val="8"/>
        <rFont val="Times New Roman"/>
        <family val="1"/>
      </rPr>
      <t>298</t>
    </r>
    <r>
      <rPr>
        <sz val="10"/>
        <rFont val="Times New Roman"/>
        <family val="1"/>
      </rPr>
      <t>=</t>
    </r>
  </si>
  <si>
    <r>
      <t>DG°</t>
    </r>
    <r>
      <rPr>
        <vertAlign val="subscript"/>
        <sz val="8"/>
        <rFont val="Times New Roman"/>
        <family val="1"/>
      </rPr>
      <t xml:space="preserve">298 </t>
    </r>
    <r>
      <rPr>
        <sz val="10"/>
        <rFont val="Times New Roman"/>
        <family val="1"/>
      </rPr>
      <t>=</t>
    </r>
  </si>
  <si>
    <t>Temp</t>
  </si>
  <si>
    <t>DS°</t>
  </si>
  <si>
    <r>
      <t>K</t>
    </r>
    <r>
      <rPr>
        <vertAlign val="subscript"/>
        <sz val="8"/>
        <color indexed="39"/>
        <rFont val="Times New Roman"/>
        <family val="1"/>
      </rPr>
      <t>eq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</si>
</sst>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&quot;-&quot;#,##0"/>
    <numFmt numFmtId="171" formatCode="#,##0;[Red]&quot;-&quot;#,##0"/>
    <numFmt numFmtId="172" formatCode="#,##0.00;&quot;-&quot;#,##0.00"/>
    <numFmt numFmtId="173" formatCode="#,##0.00;[Red]&quot;-&quot;#,##0.00"/>
    <numFmt numFmtId="174" formatCode="d/mm/yy"/>
    <numFmt numFmtId="175" formatCode="d/mmm/yy"/>
    <numFmt numFmtId="176" formatCode="d/mmm"/>
    <numFmt numFmtId="177" formatCode="mmm/yy"/>
    <numFmt numFmtId="178" formatCode="d/mm/yy\ h:mm"/>
    <numFmt numFmtId="179" formatCode="0.000"/>
    <numFmt numFmtId="180" formatCode="0.0000"/>
    <numFmt numFmtId="181" formatCode="0.00000"/>
    <numFmt numFmtId="182" formatCode="0.0"/>
    <numFmt numFmtId="183" formatCode="General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color indexed="56"/>
      <name val="Bodoni Bk BT"/>
      <family val="1"/>
    </font>
    <font>
      <b/>
      <sz val="8.5"/>
      <color indexed="8"/>
      <name val="MS Sans Serif"/>
      <family val="2"/>
    </font>
    <font>
      <b/>
      <sz val="12"/>
      <color indexed="10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name val="Geneva"/>
      <family val="0"/>
    </font>
    <font>
      <sz val="12"/>
      <name val="Tms Rmn"/>
      <family val="0"/>
    </font>
    <font>
      <b/>
      <sz val="12"/>
      <color indexed="12"/>
      <name val="Times New Roman"/>
      <family val="1"/>
    </font>
    <font>
      <vertAlign val="subscript"/>
      <sz val="8"/>
      <color indexed="12"/>
      <name val="Times New Roman"/>
      <family val="1"/>
    </font>
    <font>
      <sz val="8"/>
      <color indexed="26"/>
      <name val="Tms Rmn"/>
      <family val="0"/>
    </font>
    <font>
      <b/>
      <sz val="12"/>
      <name val="Times New Roman"/>
      <family val="1"/>
    </font>
    <font>
      <vertAlign val="superscript"/>
      <sz val="8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Symbol"/>
      <family val="1"/>
    </font>
    <font>
      <sz val="12"/>
      <color indexed="12"/>
      <name val="Tms Rmn"/>
      <family val="0"/>
    </font>
    <font>
      <sz val="12"/>
      <color indexed="18"/>
      <name val="Times New Roman"/>
      <family val="1"/>
    </font>
    <font>
      <vertAlign val="subscript"/>
      <sz val="8"/>
      <color indexed="18"/>
      <name val="Times New Roman"/>
      <family val="1"/>
    </font>
    <font>
      <vertAlign val="superscript"/>
      <sz val="8"/>
      <color indexed="18"/>
      <name val="Times New Roman"/>
      <family val="1"/>
    </font>
    <font>
      <sz val="12"/>
      <color indexed="18"/>
      <name val="Symbol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0"/>
    </font>
    <font>
      <sz val="10"/>
      <color indexed="12"/>
      <name val="Geneva"/>
      <family val="0"/>
    </font>
    <font>
      <b/>
      <sz val="8"/>
      <color indexed="12"/>
      <name val="Times New Roman"/>
      <family val="0"/>
    </font>
    <font>
      <b/>
      <sz val="10"/>
      <color indexed="12"/>
      <name val="Geneva"/>
      <family val="0"/>
    </font>
    <font>
      <b/>
      <sz val="16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vertAlign val="subscript"/>
      <sz val="12"/>
      <color indexed="12"/>
      <name val="Times New Roman"/>
      <family val="1"/>
    </font>
    <font>
      <sz val="16"/>
      <color indexed="12"/>
      <name val="Times New Roman"/>
      <family val="1"/>
    </font>
    <font>
      <sz val="18"/>
      <color indexed="12"/>
      <name val="Times New Roman"/>
      <family val="1"/>
    </font>
    <font>
      <b/>
      <sz val="18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0"/>
    </font>
    <font>
      <b/>
      <sz val="9"/>
      <color indexed="12"/>
      <name val="Times New Roman"/>
      <family val="1"/>
    </font>
    <font>
      <b/>
      <sz val="12"/>
      <name val="Geneva"/>
      <family val="0"/>
    </font>
    <font>
      <vertAlign val="subscript"/>
      <sz val="8"/>
      <name val="Geneva"/>
      <family val="0"/>
    </font>
    <font>
      <vertAlign val="subscript"/>
      <sz val="8"/>
      <name val="Times New Roman"/>
      <family val="1"/>
    </font>
    <font>
      <sz val="10"/>
      <name val="Symbol"/>
      <family val="1"/>
    </font>
    <font>
      <sz val="10"/>
      <color indexed="12"/>
      <name val="Symbol"/>
      <family val="1"/>
    </font>
    <font>
      <sz val="10"/>
      <color indexed="39"/>
      <name val="Times New Roman"/>
      <family val="1"/>
    </font>
    <font>
      <vertAlign val="subscript"/>
      <sz val="8"/>
      <color indexed="39"/>
      <name val="Times New Roman"/>
      <family val="1"/>
    </font>
    <font>
      <sz val="10"/>
      <color indexed="32"/>
      <name val="Times New Roman"/>
      <family val="1"/>
    </font>
    <font>
      <b/>
      <sz val="12"/>
      <color indexed="12"/>
      <name val="Symbol"/>
      <family val="1"/>
    </font>
    <font>
      <b/>
      <sz val="12"/>
      <color indexed="12"/>
      <name val="Geneva"/>
      <family val="0"/>
    </font>
    <font>
      <b/>
      <sz val="10"/>
      <color indexed="12"/>
      <name val="Symbol"/>
      <family val="1"/>
    </font>
    <font>
      <b/>
      <vertAlign val="subscript"/>
      <sz val="9"/>
      <color indexed="12"/>
      <name val="Geneva"/>
      <family val="0"/>
    </font>
    <font>
      <b/>
      <vertAlign val="subscript"/>
      <sz val="8"/>
      <color indexed="12"/>
      <name val="Geneva"/>
      <family val="0"/>
    </font>
    <font>
      <b/>
      <sz val="8.5"/>
      <name val="MS Sans Serif"/>
      <family val="0"/>
    </font>
    <font>
      <sz val="12"/>
      <color indexed="12"/>
      <name val="Arial"/>
      <family val="2"/>
    </font>
    <font>
      <b/>
      <sz val="1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1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20" applyFont="1">
      <alignment/>
      <protection/>
    </xf>
    <xf numFmtId="0" fontId="9" fillId="0" borderId="0" xfId="20" applyFont="1">
      <alignment/>
      <protection/>
    </xf>
    <xf numFmtId="0" fontId="10" fillId="5" borderId="1" xfId="20" applyFont="1" applyFill="1" applyBorder="1" applyAlignment="1" applyProtection="1">
      <alignment horizontal="centerContinuous"/>
      <protection locked="0"/>
    </xf>
    <xf numFmtId="0" fontId="13" fillId="5" borderId="2" xfId="20" applyFont="1" applyFill="1" applyBorder="1" applyAlignment="1" applyProtection="1">
      <alignment horizontal="centerContinuous"/>
      <protection locked="0"/>
    </xf>
    <xf numFmtId="0" fontId="10" fillId="5" borderId="2" xfId="20" applyFont="1" applyFill="1" applyBorder="1" applyAlignment="1" applyProtection="1">
      <alignment horizontal="centerContinuous"/>
      <protection locked="0"/>
    </xf>
    <xf numFmtId="0" fontId="13" fillId="5" borderId="3" xfId="20" applyFont="1" applyFill="1" applyBorder="1" applyAlignment="1" applyProtection="1">
      <alignment horizontal="center"/>
      <protection locked="0"/>
    </xf>
    <xf numFmtId="0" fontId="10" fillId="5" borderId="4" xfId="20" applyFont="1" applyFill="1" applyBorder="1" applyAlignment="1" applyProtection="1">
      <alignment horizontal="left"/>
      <protection locked="0"/>
    </xf>
    <xf numFmtId="0" fontId="10" fillId="5" borderId="5" xfId="20" applyFont="1" applyFill="1" applyBorder="1" applyAlignment="1" applyProtection="1">
      <alignment horizontal="centerContinuous"/>
      <protection locked="0"/>
    </xf>
    <xf numFmtId="0" fontId="10" fillId="5" borderId="6" xfId="20" applyFont="1" applyFill="1" applyBorder="1" applyAlignment="1" applyProtection="1">
      <alignment horizontal="center"/>
      <protection locked="0"/>
    </xf>
    <xf numFmtId="0" fontId="10" fillId="5" borderId="7" xfId="20" applyFont="1" applyFill="1" applyBorder="1" applyAlignment="1" applyProtection="1">
      <alignment horizontal="left"/>
      <protection locked="0"/>
    </xf>
    <xf numFmtId="0" fontId="10" fillId="5" borderId="5" xfId="20" applyFont="1" applyFill="1" applyBorder="1" applyAlignment="1" applyProtection="1">
      <alignment horizontal="center"/>
      <protection locked="0"/>
    </xf>
    <xf numFmtId="180" fontId="10" fillId="5" borderId="8" xfId="20" applyNumberFormat="1" applyFont="1" applyFill="1" applyBorder="1" applyAlignment="1" applyProtection="1">
      <alignment horizontal="center"/>
      <protection locked="0"/>
    </xf>
    <xf numFmtId="0" fontId="10" fillId="5" borderId="9" xfId="20" applyFont="1" applyFill="1" applyBorder="1" applyAlignment="1" applyProtection="1">
      <alignment horizontal="left"/>
      <protection locked="0"/>
    </xf>
    <xf numFmtId="0" fontId="10" fillId="5" borderId="10" xfId="20" applyFont="1" applyFill="1" applyBorder="1" applyAlignment="1" applyProtection="1">
      <alignment horizontal="center"/>
      <protection locked="0"/>
    </xf>
    <xf numFmtId="180" fontId="10" fillId="5" borderId="11" xfId="20" applyNumberFormat="1" applyFont="1" applyFill="1" applyBorder="1" applyAlignment="1" applyProtection="1">
      <alignment horizontal="center"/>
      <protection locked="0"/>
    </xf>
    <xf numFmtId="0" fontId="10" fillId="5" borderId="1" xfId="20" applyFont="1" applyFill="1" applyBorder="1" applyAlignment="1">
      <alignment horizontal="centerContinuous"/>
      <protection/>
    </xf>
    <xf numFmtId="0" fontId="13" fillId="5" borderId="2" xfId="20" applyFont="1" applyFill="1" applyBorder="1" applyAlignment="1">
      <alignment horizontal="centerContinuous"/>
      <protection/>
    </xf>
    <xf numFmtId="0" fontId="10" fillId="5" borderId="2" xfId="20" applyFont="1" applyFill="1" applyBorder="1" applyAlignment="1">
      <alignment horizontal="centerContinuous"/>
      <protection/>
    </xf>
    <xf numFmtId="0" fontId="13" fillId="5" borderId="3" xfId="20" applyFont="1" applyFill="1" applyBorder="1" applyAlignment="1">
      <alignment horizontal="center"/>
      <protection/>
    </xf>
    <xf numFmtId="0" fontId="10" fillId="5" borderId="4" xfId="20" applyFont="1" applyFill="1" applyBorder="1" applyAlignment="1">
      <alignment horizontal="left"/>
      <protection/>
    </xf>
    <xf numFmtId="0" fontId="10" fillId="5" borderId="5" xfId="20" applyFont="1" applyFill="1" applyBorder="1" applyAlignment="1">
      <alignment horizontal="centerContinuous"/>
      <protection/>
    </xf>
    <xf numFmtId="0" fontId="10" fillId="5" borderId="6" xfId="20" applyFont="1" applyFill="1" applyBorder="1" applyAlignment="1">
      <alignment horizontal="center"/>
      <protection/>
    </xf>
    <xf numFmtId="0" fontId="10" fillId="5" borderId="7" xfId="20" applyFont="1" applyFill="1" applyBorder="1" applyAlignment="1">
      <alignment horizontal="left"/>
      <protection/>
    </xf>
    <xf numFmtId="0" fontId="10" fillId="5" borderId="5" xfId="20" applyFont="1" applyFill="1" applyBorder="1" applyAlignment="1">
      <alignment horizontal="center"/>
      <protection/>
    </xf>
    <xf numFmtId="180" fontId="10" fillId="5" borderId="8" xfId="20" applyNumberFormat="1" applyFont="1" applyFill="1" applyBorder="1" applyAlignment="1">
      <alignment horizontal="center"/>
      <protection/>
    </xf>
    <xf numFmtId="0" fontId="10" fillId="5" borderId="9" xfId="20" applyFont="1" applyFill="1" applyBorder="1" applyAlignment="1">
      <alignment horizontal="left"/>
      <protection/>
    </xf>
    <xf numFmtId="0" fontId="10" fillId="5" borderId="10" xfId="20" applyFont="1" applyFill="1" applyBorder="1" applyAlignment="1">
      <alignment horizontal="center"/>
      <protection/>
    </xf>
    <xf numFmtId="180" fontId="10" fillId="5" borderId="11" xfId="20" applyNumberFormat="1" applyFont="1" applyFill="1" applyBorder="1" applyAlignment="1">
      <alignment horizontal="center"/>
      <protection/>
    </xf>
    <xf numFmtId="0" fontId="10" fillId="0" borderId="0" xfId="21" applyFont="1">
      <alignment/>
      <protection/>
    </xf>
    <xf numFmtId="0" fontId="10" fillId="5" borderId="12" xfId="21" applyFont="1" applyFill="1" applyBorder="1" applyAlignment="1">
      <alignment horizontal="centerContinuous"/>
      <protection/>
    </xf>
    <xf numFmtId="0" fontId="10" fillId="5" borderId="13" xfId="21" applyFont="1" applyFill="1" applyBorder="1" applyAlignment="1">
      <alignment horizontal="centerContinuous"/>
      <protection/>
    </xf>
    <xf numFmtId="0" fontId="10" fillId="5" borderId="14" xfId="21" applyFont="1" applyFill="1" applyBorder="1" applyAlignment="1">
      <alignment horizontal="centerContinuous"/>
      <protection/>
    </xf>
    <xf numFmtId="0" fontId="10" fillId="5" borderId="15" xfId="21" applyFont="1" applyFill="1" applyBorder="1" applyAlignment="1">
      <alignment horizontal="centerContinuous"/>
      <protection/>
    </xf>
    <xf numFmtId="0" fontId="10" fillId="5" borderId="16" xfId="21" applyFont="1" applyFill="1" applyBorder="1" applyAlignment="1">
      <alignment horizontal="centerContinuous"/>
      <protection/>
    </xf>
    <xf numFmtId="0" fontId="10" fillId="5" borderId="17" xfId="21" applyFont="1" applyFill="1" applyBorder="1" applyAlignment="1">
      <alignment horizontal="centerContinuous"/>
      <protection/>
    </xf>
    <xf numFmtId="0" fontId="10" fillId="5" borderId="5" xfId="21" applyFont="1" applyFill="1" applyBorder="1" applyAlignment="1">
      <alignment horizontal="centerContinuous"/>
      <protection/>
    </xf>
    <xf numFmtId="0" fontId="10" fillId="5" borderId="5" xfId="21" applyFont="1" applyFill="1" applyBorder="1" applyAlignment="1">
      <alignment horizontal="center"/>
      <protection/>
    </xf>
    <xf numFmtId="0" fontId="10" fillId="5" borderId="18" xfId="21" applyFont="1" applyFill="1" applyBorder="1" applyAlignment="1">
      <alignment horizontal="right"/>
      <protection/>
    </xf>
    <xf numFmtId="0" fontId="10" fillId="5" borderId="2" xfId="21" applyFont="1" applyFill="1" applyBorder="1" applyAlignment="1">
      <alignment horizontal="center"/>
      <protection/>
    </xf>
    <xf numFmtId="0" fontId="10" fillId="5" borderId="3" xfId="21" applyFont="1" applyFill="1" applyBorder="1" applyAlignment="1">
      <alignment horizontal="center"/>
      <protection/>
    </xf>
    <xf numFmtId="0" fontId="10" fillId="5" borderId="5" xfId="21" applyFont="1" applyFill="1" applyBorder="1" applyAlignment="1">
      <alignment horizontal="left"/>
      <protection/>
    </xf>
    <xf numFmtId="0" fontId="10" fillId="5" borderId="19" xfId="21" applyFont="1" applyFill="1" applyBorder="1" applyAlignment="1">
      <alignment horizontal="center"/>
      <protection/>
    </xf>
    <xf numFmtId="0" fontId="10" fillId="5" borderId="7" xfId="21" applyFont="1" applyFill="1" applyBorder="1" applyAlignment="1">
      <alignment horizontal="right"/>
      <protection/>
    </xf>
    <xf numFmtId="0" fontId="10" fillId="5" borderId="8" xfId="21" applyFont="1" applyFill="1" applyBorder="1" applyAlignment="1">
      <alignment horizontal="center"/>
      <protection/>
    </xf>
    <xf numFmtId="180" fontId="10" fillId="5" borderId="5" xfId="21" applyNumberFormat="1" applyFont="1" applyFill="1" applyBorder="1" applyAlignment="1">
      <alignment horizontal="center"/>
      <protection/>
    </xf>
    <xf numFmtId="0" fontId="10" fillId="5" borderId="9" xfId="21" applyFont="1" applyFill="1" applyBorder="1" applyAlignment="1">
      <alignment horizontal="right"/>
      <protection/>
    </xf>
    <xf numFmtId="0" fontId="10" fillId="5" borderId="10" xfId="21" applyFont="1" applyFill="1" applyBorder="1" applyAlignment="1">
      <alignment horizontal="center"/>
      <protection/>
    </xf>
    <xf numFmtId="0" fontId="10" fillId="5" borderId="11" xfId="21" applyFont="1" applyFill="1" applyBorder="1" applyAlignment="1">
      <alignment horizontal="center"/>
      <protection/>
    </xf>
    <xf numFmtId="0" fontId="10" fillId="5" borderId="18" xfId="21" applyFont="1" applyFill="1" applyBorder="1">
      <alignment/>
      <protection/>
    </xf>
    <xf numFmtId="0" fontId="10" fillId="5" borderId="9" xfId="21" applyFont="1" applyFill="1" applyBorder="1">
      <alignment/>
      <protection/>
    </xf>
    <xf numFmtId="0" fontId="10" fillId="5" borderId="10" xfId="21" applyFont="1" applyFill="1" applyBorder="1">
      <alignment/>
      <protection/>
    </xf>
    <xf numFmtId="0" fontId="10" fillId="5" borderId="7" xfId="21" applyFont="1" applyFill="1" applyBorder="1" applyAlignment="1" applyProtection="1">
      <alignment horizontal="right"/>
      <protection locked="0"/>
    </xf>
    <xf numFmtId="0" fontId="18" fillId="0" borderId="0" xfId="21" applyFont="1">
      <alignment/>
      <protection/>
    </xf>
    <xf numFmtId="0" fontId="10" fillId="0" borderId="0" xfId="21" applyFont="1" applyFill="1" applyAlignment="1">
      <alignment horizontal="left"/>
      <protection/>
    </xf>
    <xf numFmtId="0" fontId="10" fillId="0" borderId="0" xfId="21" applyFont="1" applyFill="1" applyAlignment="1">
      <alignment horizontal="center"/>
      <protection/>
    </xf>
    <xf numFmtId="180" fontId="10" fillId="0" borderId="0" xfId="21" applyNumberFormat="1" applyFont="1" applyFill="1" applyAlignment="1">
      <alignment horizontal="center"/>
      <protection/>
    </xf>
    <xf numFmtId="0" fontId="10" fillId="5" borderId="2" xfId="21" applyFont="1" applyFill="1" applyBorder="1">
      <alignment/>
      <protection/>
    </xf>
    <xf numFmtId="0" fontId="10" fillId="5" borderId="20" xfId="21" applyFont="1" applyFill="1" applyBorder="1" applyAlignment="1">
      <alignment horizontal="left"/>
      <protection/>
    </xf>
    <xf numFmtId="0" fontId="10" fillId="5" borderId="7" xfId="21" applyFont="1" applyFill="1" applyBorder="1">
      <alignment/>
      <protection/>
    </xf>
    <xf numFmtId="0" fontId="10" fillId="5" borderId="5" xfId="21" applyFont="1" applyFill="1" applyBorder="1">
      <alignment/>
      <protection/>
    </xf>
    <xf numFmtId="0" fontId="10" fillId="5" borderId="21" xfId="21" applyFont="1" applyFill="1" applyBorder="1" applyAlignment="1">
      <alignment horizontal="left"/>
      <protection/>
    </xf>
    <xf numFmtId="0" fontId="19" fillId="5" borderId="15" xfId="21" applyFont="1" applyFill="1" applyBorder="1" applyAlignment="1">
      <alignment horizontal="right"/>
      <protection/>
    </xf>
    <xf numFmtId="0" fontId="10" fillId="5" borderId="17" xfId="21" applyFont="1" applyFill="1" applyBorder="1" applyAlignment="1">
      <alignment horizontal="left"/>
      <protection/>
    </xf>
    <xf numFmtId="0" fontId="10" fillId="5" borderId="21" xfId="21" applyFont="1" applyFill="1" applyBorder="1">
      <alignment/>
      <protection/>
    </xf>
    <xf numFmtId="0" fontId="10" fillId="5" borderId="22" xfId="21" applyFont="1" applyFill="1" applyBorder="1">
      <alignment/>
      <protection/>
    </xf>
    <xf numFmtId="0" fontId="10" fillId="5" borderId="23" xfId="21" applyFont="1" applyFill="1" applyBorder="1" applyAlignment="1">
      <alignment horizontal="right"/>
      <protection/>
    </xf>
    <xf numFmtId="0" fontId="10" fillId="5" borderId="24" xfId="21" applyFont="1" applyFill="1" applyBorder="1" applyAlignment="1">
      <alignment horizontal="left"/>
      <protection/>
    </xf>
    <xf numFmtId="0" fontId="10" fillId="5" borderId="25" xfId="21" applyFont="1" applyFill="1" applyBorder="1" applyAlignment="1">
      <alignment horizontal="right"/>
      <protection/>
    </xf>
    <xf numFmtId="0" fontId="10" fillId="5" borderId="22" xfId="21" applyFont="1" applyFill="1" applyBorder="1" applyAlignment="1">
      <alignment horizontal="left"/>
      <protection/>
    </xf>
    <xf numFmtId="0" fontId="10" fillId="5" borderId="4" xfId="21" applyFont="1" applyFill="1" applyBorder="1" applyAlignment="1">
      <alignment horizontal="right"/>
      <protection/>
    </xf>
    <xf numFmtId="0" fontId="10" fillId="5" borderId="0" xfId="21" applyFont="1" applyFill="1" applyBorder="1" applyAlignment="1">
      <alignment horizontal="left"/>
      <protection/>
    </xf>
    <xf numFmtId="0" fontId="10" fillId="5" borderId="0" xfId="21" applyFont="1" applyFill="1" applyBorder="1" applyAlignment="1">
      <alignment horizontal="right"/>
      <protection/>
    </xf>
    <xf numFmtId="0" fontId="10" fillId="5" borderId="26" xfId="21" applyFont="1" applyFill="1" applyBorder="1" applyAlignment="1">
      <alignment horizontal="right"/>
      <protection/>
    </xf>
    <xf numFmtId="0" fontId="10" fillId="5" borderId="27" xfId="21" applyFont="1" applyFill="1" applyBorder="1" applyAlignment="1">
      <alignment horizontal="left"/>
      <protection/>
    </xf>
    <xf numFmtId="0" fontId="10" fillId="5" borderId="27" xfId="21" applyFont="1" applyFill="1" applyBorder="1">
      <alignment/>
      <protection/>
    </xf>
    <xf numFmtId="0" fontId="10" fillId="5" borderId="28" xfId="21" applyFont="1" applyFill="1" applyBorder="1">
      <alignment/>
      <protection/>
    </xf>
    <xf numFmtId="0" fontId="20" fillId="0" borderId="0" xfId="21" applyFont="1">
      <alignment/>
      <protection/>
    </xf>
    <xf numFmtId="0" fontId="10" fillId="0" borderId="0" xfId="21" applyFont="1" applyBorder="1" applyAlignment="1">
      <alignment horizontal="right"/>
      <protection/>
    </xf>
    <xf numFmtId="0" fontId="10" fillId="0" borderId="0" xfId="21" applyFont="1" applyBorder="1">
      <alignment/>
      <protection/>
    </xf>
    <xf numFmtId="0" fontId="9" fillId="0" borderId="0" xfId="22" applyFont="1">
      <alignment/>
      <protection/>
    </xf>
    <xf numFmtId="0" fontId="21" fillId="5" borderId="12" xfId="22" applyFont="1" applyFill="1" applyBorder="1" applyAlignment="1">
      <alignment horizontal="centerContinuous"/>
      <protection/>
    </xf>
    <xf numFmtId="0" fontId="21" fillId="5" borderId="13" xfId="22" applyFont="1" applyFill="1" applyBorder="1" applyAlignment="1">
      <alignment horizontal="centerContinuous"/>
      <protection/>
    </xf>
    <xf numFmtId="0" fontId="21" fillId="5" borderId="14" xfId="22" applyFont="1" applyFill="1" applyBorder="1" applyAlignment="1">
      <alignment horizontal="centerContinuous"/>
      <protection/>
    </xf>
    <xf numFmtId="0" fontId="21" fillId="5" borderId="15" xfId="22" applyFont="1" applyFill="1" applyBorder="1" applyAlignment="1">
      <alignment horizontal="centerContinuous"/>
      <protection/>
    </xf>
    <xf numFmtId="0" fontId="21" fillId="5" borderId="16" xfId="22" applyFont="1" applyFill="1" applyBorder="1" applyAlignment="1">
      <alignment horizontal="centerContinuous"/>
      <protection/>
    </xf>
    <xf numFmtId="0" fontId="21" fillId="5" borderId="17" xfId="22" applyFont="1" applyFill="1" applyBorder="1" applyAlignment="1">
      <alignment horizontal="centerContinuous"/>
      <protection/>
    </xf>
    <xf numFmtId="0" fontId="21" fillId="5" borderId="5" xfId="22" applyFont="1" applyFill="1" applyBorder="1" applyAlignment="1">
      <alignment horizontal="centerContinuous"/>
      <protection/>
    </xf>
    <xf numFmtId="0" fontId="21" fillId="5" borderId="5" xfId="22" applyFont="1" applyFill="1" applyBorder="1" applyAlignment="1">
      <alignment horizontal="center"/>
      <protection/>
    </xf>
    <xf numFmtId="0" fontId="21" fillId="5" borderId="18" xfId="22" applyFont="1" applyFill="1" applyBorder="1" applyAlignment="1">
      <alignment horizontal="right"/>
      <protection/>
    </xf>
    <xf numFmtId="0" fontId="21" fillId="5" borderId="2" xfId="22" applyFont="1" applyFill="1" applyBorder="1" applyAlignment="1">
      <alignment horizontal="center"/>
      <protection/>
    </xf>
    <xf numFmtId="0" fontId="21" fillId="5" borderId="3" xfId="22" applyFont="1" applyFill="1" applyBorder="1" applyAlignment="1">
      <alignment horizontal="center"/>
      <protection/>
    </xf>
    <xf numFmtId="0" fontId="21" fillId="5" borderId="5" xfId="22" applyFont="1" applyFill="1" applyBorder="1" applyAlignment="1">
      <alignment horizontal="left"/>
      <protection/>
    </xf>
    <xf numFmtId="0" fontId="21" fillId="5" borderId="19" xfId="22" applyFont="1" applyFill="1" applyBorder="1" applyAlignment="1">
      <alignment horizontal="center"/>
      <protection/>
    </xf>
    <xf numFmtId="0" fontId="21" fillId="5" borderId="7" xfId="22" applyFont="1" applyFill="1" applyBorder="1" applyAlignment="1">
      <alignment horizontal="right"/>
      <protection/>
    </xf>
    <xf numFmtId="0" fontId="21" fillId="5" borderId="8" xfId="22" applyFont="1" applyFill="1" applyBorder="1" applyAlignment="1">
      <alignment horizontal="center"/>
      <protection/>
    </xf>
    <xf numFmtId="180" fontId="21" fillId="5" borderId="5" xfId="22" applyNumberFormat="1" applyFont="1" applyFill="1" applyBorder="1" applyAlignment="1">
      <alignment horizontal="center"/>
      <protection/>
    </xf>
    <xf numFmtId="0" fontId="21" fillId="5" borderId="9" xfId="22" applyFont="1" applyFill="1" applyBorder="1" applyAlignment="1">
      <alignment horizontal="right"/>
      <protection/>
    </xf>
    <xf numFmtId="0" fontId="21" fillId="5" borderId="10" xfId="22" applyFont="1" applyFill="1" applyBorder="1" applyAlignment="1">
      <alignment horizontal="center"/>
      <protection/>
    </xf>
    <xf numFmtId="0" fontId="21" fillId="5" borderId="11" xfId="22" applyFont="1" applyFill="1" applyBorder="1" applyAlignment="1">
      <alignment horizontal="center"/>
      <protection/>
    </xf>
    <xf numFmtId="0" fontId="21" fillId="5" borderId="18" xfId="22" applyFont="1" applyFill="1" applyBorder="1">
      <alignment/>
      <protection/>
    </xf>
    <xf numFmtId="0" fontId="21" fillId="5" borderId="29" xfId="22" applyFont="1" applyFill="1" applyBorder="1" applyAlignment="1">
      <alignment horizontal="right"/>
      <protection/>
    </xf>
    <xf numFmtId="0" fontId="21" fillId="5" borderId="30" xfId="22" applyFont="1" applyFill="1" applyBorder="1" applyAlignment="1">
      <alignment horizontal="left"/>
      <protection/>
    </xf>
    <xf numFmtId="0" fontId="21" fillId="5" borderId="9" xfId="22" applyFont="1" applyFill="1" applyBorder="1">
      <alignment/>
      <protection/>
    </xf>
    <xf numFmtId="0" fontId="21" fillId="5" borderId="27" xfId="22" applyFont="1" applyFill="1" applyBorder="1" applyAlignment="1">
      <alignment horizontal="right"/>
      <protection/>
    </xf>
    <xf numFmtId="0" fontId="21" fillId="5" borderId="28" xfId="22" applyFont="1" applyFill="1" applyBorder="1" applyAlignment="1">
      <alignment horizontal="left"/>
      <protection/>
    </xf>
    <xf numFmtId="0" fontId="21" fillId="5" borderId="5" xfId="22" applyFont="1" applyFill="1" applyBorder="1">
      <alignment/>
      <protection/>
    </xf>
    <xf numFmtId="0" fontId="21" fillId="5" borderId="13" xfId="22" applyFont="1" applyFill="1" applyBorder="1">
      <alignment/>
      <protection/>
    </xf>
    <xf numFmtId="0" fontId="21" fillId="5" borderId="2" xfId="22" applyFont="1" applyFill="1" applyBorder="1">
      <alignment/>
      <protection/>
    </xf>
    <xf numFmtId="0" fontId="21" fillId="5" borderId="20" xfId="22" applyFont="1" applyFill="1" applyBorder="1" applyAlignment="1">
      <alignment horizontal="left"/>
      <protection/>
    </xf>
    <xf numFmtId="0" fontId="21" fillId="5" borderId="7" xfId="22" applyFont="1" applyFill="1" applyBorder="1">
      <alignment/>
      <protection/>
    </xf>
    <xf numFmtId="0" fontId="21" fillId="5" borderId="21" xfId="22" applyFont="1" applyFill="1" applyBorder="1" applyAlignment="1">
      <alignment horizontal="left"/>
      <protection/>
    </xf>
    <xf numFmtId="0" fontId="24" fillId="5" borderId="15" xfId="22" applyFont="1" applyFill="1" applyBorder="1" applyAlignment="1">
      <alignment horizontal="right"/>
      <protection/>
    </xf>
    <xf numFmtId="0" fontId="21" fillId="5" borderId="17" xfId="22" applyFont="1" applyFill="1" applyBorder="1" applyAlignment="1">
      <alignment horizontal="left"/>
      <protection/>
    </xf>
    <xf numFmtId="0" fontId="21" fillId="5" borderId="8" xfId="22" applyFont="1" applyFill="1" applyBorder="1">
      <alignment/>
      <protection/>
    </xf>
    <xf numFmtId="0" fontId="21" fillId="5" borderId="10" xfId="22" applyFont="1" applyFill="1" applyBorder="1">
      <alignment/>
      <protection/>
    </xf>
    <xf numFmtId="0" fontId="21" fillId="5" borderId="11" xfId="22" applyFont="1" applyFill="1" applyBorder="1">
      <alignment/>
      <protection/>
    </xf>
    <xf numFmtId="0" fontId="21" fillId="5" borderId="18" xfId="22" applyFont="1" applyFill="1" applyBorder="1" applyAlignment="1">
      <alignment horizontal="center"/>
      <protection/>
    </xf>
    <xf numFmtId="0" fontId="24" fillId="5" borderId="3" xfId="22" applyFont="1" applyFill="1" applyBorder="1" applyAlignment="1">
      <alignment horizontal="center"/>
      <protection/>
    </xf>
    <xf numFmtId="0" fontId="21" fillId="5" borderId="7" xfId="22" applyFont="1" applyFill="1" applyBorder="1" applyAlignment="1">
      <alignment horizontal="center"/>
      <protection/>
    </xf>
    <xf numFmtId="0" fontId="21" fillId="5" borderId="9" xfId="22" applyFont="1" applyFill="1" applyBorder="1" applyAlignment="1">
      <alignment horizontal="center"/>
      <protection/>
    </xf>
    <xf numFmtId="0" fontId="21" fillId="5" borderId="23" xfId="22" applyFont="1" applyFill="1" applyBorder="1" applyAlignment="1">
      <alignment horizontal="right"/>
      <protection/>
    </xf>
    <xf numFmtId="0" fontId="21" fillId="5" borderId="24" xfId="22" applyFont="1" applyFill="1" applyBorder="1" applyAlignment="1">
      <alignment horizontal="left"/>
      <protection/>
    </xf>
    <xf numFmtId="0" fontId="21" fillId="5" borderId="25" xfId="22" applyFont="1" applyFill="1" applyBorder="1" applyAlignment="1">
      <alignment horizontal="right"/>
      <protection/>
    </xf>
    <xf numFmtId="0" fontId="21" fillId="5" borderId="22" xfId="22" applyFont="1" applyFill="1" applyBorder="1" applyAlignment="1">
      <alignment horizontal="left"/>
      <protection/>
    </xf>
    <xf numFmtId="0" fontId="21" fillId="5" borderId="4" xfId="22" applyFont="1" applyFill="1" applyBorder="1" applyAlignment="1">
      <alignment horizontal="right"/>
      <protection/>
    </xf>
    <xf numFmtId="0" fontId="21" fillId="5" borderId="0" xfId="22" applyFont="1" applyFill="1" applyBorder="1" applyAlignment="1">
      <alignment horizontal="left"/>
      <protection/>
    </xf>
    <xf numFmtId="0" fontId="21" fillId="5" borderId="0" xfId="22" applyFont="1" applyFill="1" applyBorder="1" applyAlignment="1">
      <alignment horizontal="right"/>
      <protection/>
    </xf>
    <xf numFmtId="0" fontId="21" fillId="5" borderId="26" xfId="22" applyFont="1" applyFill="1" applyBorder="1" applyAlignment="1">
      <alignment horizontal="right"/>
      <protection/>
    </xf>
    <xf numFmtId="0" fontId="21" fillId="5" borderId="27" xfId="22" applyFont="1" applyFill="1" applyBorder="1" applyAlignment="1">
      <alignment horizontal="left"/>
      <protection/>
    </xf>
    <xf numFmtId="0" fontId="21" fillId="5" borderId="28" xfId="22" applyFont="1" applyFill="1" applyBorder="1">
      <alignment/>
      <protection/>
    </xf>
    <xf numFmtId="0" fontId="9" fillId="0" borderId="0" xfId="22" applyFont="1" applyBorder="1" applyAlignment="1">
      <alignment horizontal="right"/>
      <protection/>
    </xf>
    <xf numFmtId="0" fontId="9" fillId="0" borderId="0" xfId="22" applyFont="1" applyBorder="1">
      <alignment/>
      <protection/>
    </xf>
    <xf numFmtId="0" fontId="9" fillId="0" borderId="27" xfId="22" applyFont="1" applyBorder="1">
      <alignment/>
      <protection/>
    </xf>
    <xf numFmtId="0" fontId="10" fillId="0" borderId="0" xfId="23" applyFont="1">
      <alignment/>
      <protection/>
    </xf>
    <xf numFmtId="0" fontId="10" fillId="5" borderId="31" xfId="23" applyFont="1" applyFill="1" applyBorder="1" applyAlignment="1">
      <alignment horizontal="centerContinuous"/>
      <protection/>
    </xf>
    <xf numFmtId="0" fontId="10" fillId="5" borderId="32" xfId="23" applyFont="1" applyFill="1" applyBorder="1" applyAlignment="1">
      <alignment horizontal="centerContinuous"/>
      <protection/>
    </xf>
    <xf numFmtId="0" fontId="10" fillId="5" borderId="33" xfId="23" applyFont="1" applyFill="1" applyBorder="1" applyAlignment="1">
      <alignment horizontal="centerContinuous"/>
      <protection/>
    </xf>
    <xf numFmtId="0" fontId="10" fillId="5" borderId="15" xfId="23" applyFont="1" applyFill="1" applyBorder="1" applyAlignment="1">
      <alignment horizontal="centerContinuous"/>
      <protection/>
    </xf>
    <xf numFmtId="0" fontId="10" fillId="5" borderId="16" xfId="23" applyFont="1" applyFill="1" applyBorder="1" applyAlignment="1">
      <alignment horizontal="centerContinuous"/>
      <protection/>
    </xf>
    <xf numFmtId="0" fontId="10" fillId="5" borderId="17" xfId="23" applyFont="1" applyFill="1" applyBorder="1" applyAlignment="1">
      <alignment horizontal="centerContinuous"/>
      <protection/>
    </xf>
    <xf numFmtId="0" fontId="10" fillId="5" borderId="7" xfId="23" applyFont="1" applyFill="1" applyBorder="1" applyAlignment="1">
      <alignment horizontal="centerContinuous"/>
      <protection/>
    </xf>
    <xf numFmtId="0" fontId="10" fillId="5" borderId="5" xfId="23" applyFont="1" applyFill="1" applyBorder="1" applyAlignment="1">
      <alignment horizontal="centerContinuous"/>
      <protection/>
    </xf>
    <xf numFmtId="0" fontId="10" fillId="5" borderId="8" xfId="23" applyFont="1" applyFill="1" applyBorder="1" applyAlignment="1">
      <alignment horizontal="center"/>
      <protection/>
    </xf>
    <xf numFmtId="0" fontId="10" fillId="5" borderId="18" xfId="23" applyFont="1" applyFill="1" applyBorder="1" applyAlignment="1">
      <alignment horizontal="right"/>
      <protection/>
    </xf>
    <xf numFmtId="0" fontId="10" fillId="5" borderId="2" xfId="23" applyFont="1" applyFill="1" applyBorder="1" applyAlignment="1">
      <alignment horizontal="center"/>
      <protection/>
    </xf>
    <xf numFmtId="0" fontId="10" fillId="5" borderId="3" xfId="23" applyFont="1" applyFill="1" applyBorder="1" applyAlignment="1">
      <alignment horizontal="center"/>
      <protection/>
    </xf>
    <xf numFmtId="0" fontId="10" fillId="5" borderId="7" xfId="23" applyFont="1" applyFill="1" applyBorder="1" applyAlignment="1">
      <alignment horizontal="left"/>
      <protection/>
    </xf>
    <xf numFmtId="0" fontId="10" fillId="5" borderId="6" xfId="23" applyFont="1" applyFill="1" applyBorder="1" applyAlignment="1">
      <alignment horizontal="center"/>
      <protection/>
    </xf>
    <xf numFmtId="0" fontId="10" fillId="5" borderId="7" xfId="23" applyFont="1" applyFill="1" applyBorder="1" applyAlignment="1">
      <alignment horizontal="right"/>
      <protection/>
    </xf>
    <xf numFmtId="0" fontId="10" fillId="5" borderId="5" xfId="23" applyFont="1" applyFill="1" applyBorder="1" applyAlignment="1">
      <alignment horizontal="center"/>
      <protection/>
    </xf>
    <xf numFmtId="181" fontId="10" fillId="5" borderId="8" xfId="23" applyNumberFormat="1" applyFont="1" applyFill="1" applyBorder="1" applyAlignment="1">
      <alignment horizontal="center"/>
      <protection/>
    </xf>
    <xf numFmtId="0" fontId="10" fillId="5" borderId="9" xfId="23" applyFont="1" applyFill="1" applyBorder="1" applyAlignment="1">
      <alignment horizontal="right"/>
      <protection/>
    </xf>
    <xf numFmtId="0" fontId="10" fillId="5" borderId="10" xfId="23" applyFont="1" applyFill="1" applyBorder="1" applyAlignment="1">
      <alignment horizontal="center"/>
      <protection/>
    </xf>
    <xf numFmtId="0" fontId="10" fillId="5" borderId="11" xfId="23" applyFont="1" applyFill="1" applyBorder="1" applyAlignment="1">
      <alignment horizontal="center"/>
      <protection/>
    </xf>
    <xf numFmtId="180" fontId="10" fillId="5" borderId="8" xfId="23" applyNumberFormat="1" applyFont="1" applyFill="1" applyBorder="1" applyAlignment="1">
      <alignment horizontal="center"/>
      <protection/>
    </xf>
    <xf numFmtId="0" fontId="10" fillId="5" borderId="18" xfId="23" applyFont="1" applyFill="1" applyBorder="1">
      <alignment/>
      <protection/>
    </xf>
    <xf numFmtId="0" fontId="10" fillId="5" borderId="9" xfId="23" applyFont="1" applyFill="1" applyBorder="1" applyAlignment="1">
      <alignment horizontal="left"/>
      <protection/>
    </xf>
    <xf numFmtId="180" fontId="10" fillId="5" borderId="11" xfId="23" applyNumberFormat="1" applyFont="1" applyFill="1" applyBorder="1" applyAlignment="1">
      <alignment horizontal="center"/>
      <protection/>
    </xf>
    <xf numFmtId="0" fontId="10" fillId="5" borderId="9" xfId="23" applyFont="1" applyFill="1" applyBorder="1">
      <alignment/>
      <protection/>
    </xf>
    <xf numFmtId="0" fontId="10" fillId="5" borderId="10" xfId="23" applyFont="1" applyFill="1" applyBorder="1">
      <alignment/>
      <protection/>
    </xf>
    <xf numFmtId="0" fontId="10" fillId="0" borderId="0" xfId="23" applyFont="1" applyFill="1" applyAlignment="1">
      <alignment horizontal="left"/>
      <protection/>
    </xf>
    <xf numFmtId="0" fontId="10" fillId="0" borderId="0" xfId="23" applyFont="1" applyFill="1" applyAlignment="1">
      <alignment horizontal="center"/>
      <protection/>
    </xf>
    <xf numFmtId="180" fontId="10" fillId="0" borderId="0" xfId="23" applyNumberFormat="1" applyFont="1" applyFill="1" applyAlignment="1">
      <alignment horizontal="center"/>
      <protection/>
    </xf>
    <xf numFmtId="0" fontId="10" fillId="5" borderId="2" xfId="23" applyFont="1" applyFill="1" applyBorder="1">
      <alignment/>
      <protection/>
    </xf>
    <xf numFmtId="0" fontId="10" fillId="5" borderId="20" xfId="23" applyFont="1" applyFill="1" applyBorder="1" applyAlignment="1">
      <alignment horizontal="left"/>
      <protection/>
    </xf>
    <xf numFmtId="0" fontId="10" fillId="5" borderId="7" xfId="23" applyFont="1" applyFill="1" applyBorder="1">
      <alignment/>
      <protection/>
    </xf>
    <xf numFmtId="0" fontId="10" fillId="5" borderId="5" xfId="23" applyFont="1" applyFill="1" applyBorder="1">
      <alignment/>
      <protection/>
    </xf>
    <xf numFmtId="0" fontId="10" fillId="5" borderId="21" xfId="23" applyFont="1" applyFill="1" applyBorder="1" applyAlignment="1">
      <alignment horizontal="left"/>
      <protection/>
    </xf>
    <xf numFmtId="0" fontId="10" fillId="5" borderId="15" xfId="23" applyFont="1" applyFill="1" applyBorder="1" applyAlignment="1">
      <alignment horizontal="right"/>
      <protection/>
    </xf>
    <xf numFmtId="0" fontId="10" fillId="5" borderId="17" xfId="23" applyFont="1" applyFill="1" applyBorder="1" applyAlignment="1">
      <alignment horizontal="left"/>
      <protection/>
    </xf>
    <xf numFmtId="0" fontId="10" fillId="5" borderId="8" xfId="23" applyFont="1" applyFill="1" applyBorder="1">
      <alignment/>
      <protection/>
    </xf>
    <xf numFmtId="0" fontId="10" fillId="5" borderId="11" xfId="23" applyFont="1" applyFill="1" applyBorder="1">
      <alignment/>
      <protection/>
    </xf>
    <xf numFmtId="0" fontId="10" fillId="5" borderId="23" xfId="23" applyFont="1" applyFill="1" applyBorder="1" applyAlignment="1">
      <alignment horizontal="right"/>
      <protection/>
    </xf>
    <xf numFmtId="0" fontId="10" fillId="5" borderId="24" xfId="23" applyFont="1" applyFill="1" applyBorder="1" applyAlignment="1">
      <alignment horizontal="left"/>
      <protection/>
    </xf>
    <xf numFmtId="0" fontId="10" fillId="5" borderId="25" xfId="23" applyFont="1" applyFill="1" applyBorder="1" applyAlignment="1">
      <alignment horizontal="right"/>
      <protection/>
    </xf>
    <xf numFmtId="0" fontId="10" fillId="5" borderId="22" xfId="23" applyFont="1" applyFill="1" applyBorder="1" applyAlignment="1">
      <alignment horizontal="left"/>
      <protection/>
    </xf>
    <xf numFmtId="0" fontId="10" fillId="5" borderId="4" xfId="23" applyFont="1" applyFill="1" applyBorder="1" applyAlignment="1">
      <alignment horizontal="right"/>
      <protection/>
    </xf>
    <xf numFmtId="0" fontId="10" fillId="5" borderId="0" xfId="23" applyFont="1" applyFill="1" applyBorder="1" applyAlignment="1">
      <alignment horizontal="left"/>
      <protection/>
    </xf>
    <xf numFmtId="0" fontId="10" fillId="5" borderId="0" xfId="23" applyFont="1" applyFill="1" applyBorder="1" applyAlignment="1">
      <alignment horizontal="right"/>
      <protection/>
    </xf>
    <xf numFmtId="0" fontId="10" fillId="5" borderId="26" xfId="23" applyFont="1" applyFill="1" applyBorder="1" applyAlignment="1">
      <alignment horizontal="right"/>
      <protection/>
    </xf>
    <xf numFmtId="0" fontId="10" fillId="5" borderId="27" xfId="23" applyFont="1" applyFill="1" applyBorder="1" applyAlignment="1">
      <alignment horizontal="left"/>
      <protection/>
    </xf>
    <xf numFmtId="0" fontId="10" fillId="5" borderId="28" xfId="23" applyFont="1" applyFill="1" applyBorder="1">
      <alignment/>
      <protection/>
    </xf>
    <xf numFmtId="0" fontId="10" fillId="0" borderId="0" xfId="23" applyFont="1" applyBorder="1" applyAlignment="1">
      <alignment horizontal="right"/>
      <protection/>
    </xf>
    <xf numFmtId="0" fontId="10" fillId="0" borderId="0" xfId="23" applyFont="1" applyBorder="1">
      <alignment/>
      <protection/>
    </xf>
    <xf numFmtId="0" fontId="10" fillId="5" borderId="24" xfId="23" applyFont="1" applyFill="1" applyBorder="1" applyAlignment="1">
      <alignment/>
      <protection/>
    </xf>
    <xf numFmtId="0" fontId="25" fillId="0" borderId="0" xfId="24" applyFont="1">
      <alignment/>
      <protection/>
    </xf>
    <xf numFmtId="0" fontId="25" fillId="0" borderId="0" xfId="24" applyFont="1" applyAlignment="1">
      <alignment horizontal="center"/>
      <protection/>
    </xf>
    <xf numFmtId="0" fontId="8" fillId="0" borderId="0" xfId="24" applyFont="1">
      <alignment/>
      <protection/>
    </xf>
    <xf numFmtId="0" fontId="26" fillId="5" borderId="0" xfId="24" applyFont="1" applyFill="1" applyBorder="1" applyAlignment="1">
      <alignment horizontal="center"/>
      <protection/>
    </xf>
    <xf numFmtId="0" fontId="26" fillId="5" borderId="0" xfId="24" applyFont="1" applyFill="1" applyBorder="1">
      <alignment/>
      <protection/>
    </xf>
    <xf numFmtId="0" fontId="27" fillId="0" borderId="0" xfId="24" applyFont="1">
      <alignment/>
      <protection/>
    </xf>
    <xf numFmtId="0" fontId="26" fillId="5" borderId="34" xfId="24" applyNumberFormat="1" applyFont="1" applyFill="1" applyBorder="1" applyAlignment="1">
      <alignment horizontal="left"/>
      <protection/>
    </xf>
    <xf numFmtId="0" fontId="26" fillId="5" borderId="34" xfId="24" applyNumberFormat="1" applyFont="1" applyFill="1" applyBorder="1" applyAlignment="1">
      <alignment horizontal="right"/>
      <protection/>
    </xf>
    <xf numFmtId="0" fontId="25" fillId="0" borderId="0" xfId="24" applyFont="1" applyAlignment="1">
      <alignment horizontal="right"/>
      <protection/>
    </xf>
    <xf numFmtId="0" fontId="26" fillId="0" borderId="0" xfId="24" applyFont="1" applyBorder="1">
      <alignment/>
      <protection/>
    </xf>
    <xf numFmtId="0" fontId="28" fillId="0" borderId="0" xfId="24" applyFont="1" applyBorder="1" applyAlignment="1">
      <alignment horizontal="left"/>
      <protection/>
    </xf>
    <xf numFmtId="0" fontId="28" fillId="5" borderId="0" xfId="24" applyFont="1" applyFill="1" applyBorder="1" applyAlignment="1">
      <alignment horizontal="center"/>
      <protection/>
    </xf>
    <xf numFmtId="0" fontId="28" fillId="5" borderId="0" xfId="24" applyFont="1" applyFill="1" applyBorder="1" applyAlignment="1">
      <alignment horizontal="left"/>
      <protection/>
    </xf>
    <xf numFmtId="0" fontId="26" fillId="0" borderId="0" xfId="24" applyFont="1">
      <alignment/>
      <protection/>
    </xf>
    <xf numFmtId="0" fontId="26" fillId="5" borderId="34" xfId="24" applyFont="1" applyFill="1" applyBorder="1" applyAlignment="1">
      <alignment horizontal="left"/>
      <protection/>
    </xf>
    <xf numFmtId="0" fontId="8" fillId="0" borderId="0" xfId="24" applyFont="1" applyAlignment="1">
      <alignment horizontal="center"/>
      <protection/>
    </xf>
    <xf numFmtId="0" fontId="8" fillId="0" borderId="0" xfId="25" applyFont="1">
      <alignment/>
      <protection/>
    </xf>
    <xf numFmtId="0" fontId="25" fillId="0" borderId="0" xfId="25" applyFont="1">
      <alignment/>
      <protection/>
    </xf>
    <xf numFmtId="0" fontId="25" fillId="0" borderId="0" xfId="25" applyFont="1" applyAlignment="1">
      <alignment horizontal="center"/>
      <protection/>
    </xf>
    <xf numFmtId="0" fontId="25" fillId="0" borderId="0" xfId="25" applyFont="1" applyBorder="1">
      <alignment/>
      <protection/>
    </xf>
    <xf numFmtId="0" fontId="25" fillId="5" borderId="34" xfId="25" applyFont="1" applyFill="1" applyBorder="1" applyAlignment="1">
      <alignment horizontal="center"/>
      <protection/>
    </xf>
    <xf numFmtId="0" fontId="26" fillId="5" borderId="0" xfId="25" applyFont="1" applyFill="1" applyBorder="1" applyAlignment="1">
      <alignment horizontal="centerContinuous"/>
      <protection/>
    </xf>
    <xf numFmtId="0" fontId="29" fillId="5" borderId="0" xfId="25" applyFont="1" applyFill="1">
      <alignment/>
      <protection/>
    </xf>
    <xf numFmtId="0" fontId="26" fillId="5" borderId="0" xfId="25" applyFont="1" applyFill="1" applyBorder="1">
      <alignment/>
      <protection/>
    </xf>
    <xf numFmtId="0" fontId="26" fillId="5" borderId="0" xfId="25" applyFont="1" applyFill="1" applyBorder="1" applyAlignment="1">
      <alignment horizontal="center"/>
      <protection/>
    </xf>
    <xf numFmtId="0" fontId="28" fillId="5" borderId="0" xfId="25" applyFont="1" applyFill="1" applyBorder="1" applyAlignment="1">
      <alignment horizontal="left"/>
      <protection/>
    </xf>
    <xf numFmtId="0" fontId="26" fillId="5" borderId="0" xfId="25" applyFont="1" applyFill="1">
      <alignment/>
      <protection/>
    </xf>
    <xf numFmtId="0" fontId="28" fillId="5" borderId="0" xfId="25" applyFont="1" applyFill="1" applyAlignment="1">
      <alignment horizontal="left"/>
      <protection/>
    </xf>
    <xf numFmtId="0" fontId="26" fillId="0" borderId="0" xfId="25" applyFont="1">
      <alignment/>
      <protection/>
    </xf>
    <xf numFmtId="0" fontId="26" fillId="5" borderId="0" xfId="25" applyFont="1" applyFill="1" applyBorder="1" applyAlignment="1">
      <alignment horizontal="right"/>
      <protection/>
    </xf>
    <xf numFmtId="0" fontId="28" fillId="5" borderId="0" xfId="25" applyFont="1" applyFill="1" applyBorder="1" applyAlignment="1">
      <alignment horizontal="left"/>
      <protection/>
    </xf>
    <xf numFmtId="0" fontId="8" fillId="0" borderId="0" xfId="25" applyFont="1" applyAlignment="1">
      <alignment horizontal="center"/>
      <protection/>
    </xf>
    <xf numFmtId="0" fontId="8" fillId="0" borderId="0" xfId="26" applyFont="1">
      <alignment/>
      <protection/>
    </xf>
    <xf numFmtId="0" fontId="8" fillId="0" borderId="0" xfId="26" applyFont="1" applyAlignment="1">
      <alignment horizontal="center"/>
      <protection/>
    </xf>
    <xf numFmtId="2" fontId="8" fillId="0" borderId="0" xfId="26" applyNumberFormat="1" applyFont="1">
      <alignment/>
      <protection/>
    </xf>
    <xf numFmtId="0" fontId="25" fillId="5" borderId="1" xfId="26" applyFont="1" applyFill="1" applyBorder="1">
      <alignment/>
      <protection/>
    </xf>
    <xf numFmtId="0" fontId="25" fillId="5" borderId="35" xfId="26" applyFont="1" applyFill="1" applyBorder="1">
      <alignment/>
      <protection/>
    </xf>
    <xf numFmtId="0" fontId="25" fillId="5" borderId="35" xfId="26" applyFont="1" applyFill="1" applyBorder="1" applyAlignment="1">
      <alignment horizontal="center"/>
      <protection/>
    </xf>
    <xf numFmtId="0" fontId="25" fillId="5" borderId="36" xfId="26" applyFont="1" applyFill="1" applyBorder="1">
      <alignment/>
      <protection/>
    </xf>
    <xf numFmtId="0" fontId="10" fillId="5" borderId="18" xfId="26" applyFont="1" applyFill="1" applyBorder="1" applyAlignment="1">
      <alignment horizontal="center"/>
      <protection/>
    </xf>
    <xf numFmtId="0" fontId="10" fillId="5" borderId="3" xfId="26" applyFont="1" applyFill="1" applyBorder="1" applyAlignment="1">
      <alignment horizontal="center"/>
      <protection/>
    </xf>
    <xf numFmtId="0" fontId="25" fillId="5" borderId="4" xfId="26" applyFont="1" applyFill="1" applyBorder="1">
      <alignment/>
      <protection/>
    </xf>
    <xf numFmtId="0" fontId="13" fillId="5" borderId="0" xfId="26" applyFont="1" applyFill="1" applyBorder="1" applyAlignment="1">
      <alignment horizontal="center"/>
      <protection/>
    </xf>
    <xf numFmtId="0" fontId="30" fillId="5" borderId="0" xfId="26" applyFont="1" applyFill="1" applyBorder="1" applyAlignment="1">
      <alignment horizontal="center"/>
      <protection/>
    </xf>
    <xf numFmtId="0" fontId="31" fillId="6" borderId="37" xfId="26" applyFont="1" applyFill="1" applyBorder="1" applyAlignment="1">
      <alignment horizontal="center"/>
      <protection/>
    </xf>
    <xf numFmtId="0" fontId="25" fillId="5" borderId="20" xfId="26" applyFont="1" applyFill="1" applyBorder="1">
      <alignment/>
      <protection/>
    </xf>
    <xf numFmtId="0" fontId="10" fillId="5" borderId="9" xfId="26" applyFont="1" applyFill="1" applyBorder="1" applyAlignment="1">
      <alignment horizontal="center"/>
      <protection/>
    </xf>
    <xf numFmtId="0" fontId="10" fillId="5" borderId="11" xfId="26" applyFont="1" applyFill="1" applyBorder="1" applyAlignment="1">
      <alignment horizontal="center"/>
      <protection/>
    </xf>
    <xf numFmtId="0" fontId="25" fillId="5" borderId="26" xfId="26" applyFont="1" applyFill="1" applyBorder="1">
      <alignment/>
      <protection/>
    </xf>
    <xf numFmtId="0" fontId="25" fillId="5" borderId="27" xfId="26" applyFont="1" applyFill="1" applyBorder="1">
      <alignment/>
      <protection/>
    </xf>
    <xf numFmtId="0" fontId="25" fillId="5" borderId="27" xfId="26" applyFont="1" applyFill="1" applyBorder="1" applyAlignment="1">
      <alignment horizontal="center"/>
      <protection/>
    </xf>
    <xf numFmtId="0" fontId="25" fillId="5" borderId="28" xfId="26" applyFont="1" applyFill="1" applyBorder="1">
      <alignment/>
      <protection/>
    </xf>
    <xf numFmtId="0" fontId="8" fillId="0" borderId="0" xfId="26" applyFont="1" applyBorder="1">
      <alignment/>
      <protection/>
    </xf>
    <xf numFmtId="0" fontId="8" fillId="0" borderId="0" xfId="26" applyFont="1" applyBorder="1" applyAlignment="1">
      <alignment horizontal="center"/>
      <protection/>
    </xf>
    <xf numFmtId="0" fontId="8" fillId="6" borderId="38" xfId="26" applyFont="1" applyFill="1" applyBorder="1">
      <alignment/>
      <protection/>
    </xf>
    <xf numFmtId="0" fontId="8" fillId="6" borderId="39" xfId="26" applyFont="1" applyFill="1" applyBorder="1">
      <alignment/>
      <protection/>
    </xf>
    <xf numFmtId="0" fontId="8" fillId="6" borderId="39" xfId="26" applyFont="1" applyFill="1" applyBorder="1" applyAlignment="1">
      <alignment horizontal="center"/>
      <protection/>
    </xf>
    <xf numFmtId="2" fontId="8" fillId="6" borderId="39" xfId="26" applyNumberFormat="1" applyFont="1" applyFill="1" applyBorder="1">
      <alignment/>
      <protection/>
    </xf>
    <xf numFmtId="0" fontId="8" fillId="6" borderId="40" xfId="26" applyFont="1" applyFill="1" applyBorder="1">
      <alignment/>
      <protection/>
    </xf>
    <xf numFmtId="0" fontId="8" fillId="6" borderId="41" xfId="26" applyFont="1" applyFill="1" applyBorder="1">
      <alignment/>
      <protection/>
    </xf>
    <xf numFmtId="0" fontId="16" fillId="6" borderId="0" xfId="26" applyFont="1" applyFill="1" applyBorder="1" applyAlignment="1">
      <alignment horizontal="center"/>
      <protection/>
    </xf>
    <xf numFmtId="0" fontId="8" fillId="6" borderId="0" xfId="26" applyFont="1" applyFill="1" applyBorder="1" applyAlignment="1">
      <alignment horizontal="center"/>
      <protection/>
    </xf>
    <xf numFmtId="0" fontId="25" fillId="5" borderId="31" xfId="26" applyFont="1" applyFill="1" applyBorder="1" applyAlignment="1" applyProtection="1">
      <alignment horizontal="centerContinuous"/>
      <protection/>
    </xf>
    <xf numFmtId="0" fontId="25" fillId="5" borderId="32" xfId="26" applyFont="1" applyFill="1" applyBorder="1" applyAlignment="1" applyProtection="1">
      <alignment horizontal="centerContinuous"/>
      <protection/>
    </xf>
    <xf numFmtId="2" fontId="25" fillId="5" borderId="33" xfId="26" applyNumberFormat="1" applyFont="1" applyFill="1" applyBorder="1" applyAlignment="1" applyProtection="1">
      <alignment horizontal="centerContinuous"/>
      <protection/>
    </xf>
    <xf numFmtId="2" fontId="8" fillId="6" borderId="0" xfId="26" applyNumberFormat="1" applyFont="1" applyFill="1" applyBorder="1" applyAlignment="1">
      <alignment/>
      <protection/>
    </xf>
    <xf numFmtId="0" fontId="8" fillId="6" borderId="0" xfId="26" applyFont="1" applyFill="1" applyBorder="1">
      <alignment/>
      <protection/>
    </xf>
    <xf numFmtId="0" fontId="8" fillId="6" borderId="42" xfId="26" applyFont="1" applyFill="1" applyBorder="1">
      <alignment/>
      <protection/>
    </xf>
    <xf numFmtId="0" fontId="25" fillId="5" borderId="43" xfId="26" applyFont="1" applyFill="1" applyBorder="1" applyAlignment="1" applyProtection="1">
      <alignment horizontal="center"/>
      <protection/>
    </xf>
    <xf numFmtId="0" fontId="25" fillId="5" borderId="29" xfId="26" applyFont="1" applyFill="1" applyBorder="1" applyAlignment="1" applyProtection="1">
      <alignment horizontal="center"/>
      <protection/>
    </xf>
    <xf numFmtId="0" fontId="25" fillId="5" borderId="44" xfId="26" applyFont="1" applyFill="1" applyBorder="1" applyAlignment="1" applyProtection="1">
      <alignment horizontal="center"/>
      <protection locked="0"/>
    </xf>
    <xf numFmtId="2" fontId="25" fillId="5" borderId="45" xfId="26" applyNumberFormat="1" applyFont="1" applyFill="1" applyBorder="1" applyAlignment="1" applyProtection="1">
      <alignment horizontal="center"/>
      <protection hidden="1"/>
    </xf>
    <xf numFmtId="2" fontId="8" fillId="6" borderId="0" xfId="26" applyNumberFormat="1" applyFont="1" applyFill="1" applyBorder="1" applyAlignment="1">
      <alignment horizontal="center"/>
      <protection/>
    </xf>
    <xf numFmtId="0" fontId="33" fillId="5" borderId="4" xfId="26" applyFont="1" applyFill="1" applyBorder="1" applyAlignment="1" applyProtection="1">
      <alignment horizontal="centerContinuous"/>
      <protection/>
    </xf>
    <xf numFmtId="0" fontId="30" fillId="5" borderId="0" xfId="26" applyFont="1" applyFill="1" applyBorder="1" applyAlignment="1" applyProtection="1">
      <alignment horizontal="centerContinuous"/>
      <protection/>
    </xf>
    <xf numFmtId="0" fontId="31" fillId="5" borderId="0" xfId="26" applyFont="1" applyFill="1" applyBorder="1" applyAlignment="1" applyProtection="1">
      <alignment horizontal="centerContinuous"/>
      <protection/>
    </xf>
    <xf numFmtId="0" fontId="25" fillId="5" borderId="46" xfId="26" applyFont="1" applyFill="1" applyBorder="1" applyAlignment="1" applyProtection="1">
      <alignment horizontal="center"/>
      <protection/>
    </xf>
    <xf numFmtId="182" fontId="25" fillId="5" borderId="47" xfId="26" applyNumberFormat="1" applyFont="1" applyFill="1" applyBorder="1" applyAlignment="1" applyProtection="1">
      <alignment horizontal="center"/>
      <protection/>
    </xf>
    <xf numFmtId="182" fontId="8" fillId="6" borderId="0" xfId="26" applyNumberFormat="1" applyFont="1" applyFill="1" applyBorder="1">
      <alignment/>
      <protection/>
    </xf>
    <xf numFmtId="0" fontId="25" fillId="5" borderId="31" xfId="26" applyFont="1" applyFill="1" applyBorder="1" applyAlignment="1">
      <alignment horizontal="center"/>
      <protection/>
    </xf>
    <xf numFmtId="0" fontId="10" fillId="5" borderId="3" xfId="26" applyFont="1" applyFill="1" applyBorder="1" applyAlignment="1">
      <alignment horizontal="center"/>
      <protection/>
    </xf>
    <xf numFmtId="0" fontId="34" fillId="5" borderId="4" xfId="26" applyFont="1" applyFill="1" applyBorder="1" applyAlignment="1" applyProtection="1">
      <alignment horizontal="centerContinuous"/>
      <protection/>
    </xf>
    <xf numFmtId="0" fontId="35" fillId="5" borderId="0" xfId="26" applyFont="1" applyFill="1" applyBorder="1" applyAlignment="1" applyProtection="1">
      <alignment horizontal="centerContinuous"/>
      <protection/>
    </xf>
    <xf numFmtId="0" fontId="25" fillId="5" borderId="26" xfId="26" applyFont="1" applyFill="1" applyBorder="1" applyAlignment="1">
      <alignment horizontal="center"/>
      <protection/>
    </xf>
    <xf numFmtId="0" fontId="10" fillId="5" borderId="48" xfId="26" applyFont="1" applyFill="1" applyBorder="1" applyAlignment="1">
      <alignment horizontal="center"/>
      <protection/>
    </xf>
    <xf numFmtId="0" fontId="25" fillId="5" borderId="0" xfId="26" applyFont="1" applyFill="1" applyBorder="1" applyAlignment="1" applyProtection="1">
      <alignment horizontal="centerContinuous"/>
      <protection/>
    </xf>
    <xf numFmtId="0" fontId="34" fillId="5" borderId="26" xfId="26" applyFont="1" applyFill="1" applyBorder="1" applyAlignment="1" applyProtection="1">
      <alignment horizontal="centerContinuous"/>
      <protection/>
    </xf>
    <xf numFmtId="0" fontId="31" fillId="5" borderId="27" xfId="26" applyFont="1" applyFill="1" applyBorder="1" applyAlignment="1" applyProtection="1">
      <alignment horizontal="centerContinuous"/>
      <protection/>
    </xf>
    <xf numFmtId="0" fontId="25" fillId="5" borderId="27" xfId="26" applyFont="1" applyFill="1" applyBorder="1" applyAlignment="1" applyProtection="1">
      <alignment horizontal="centerContinuous"/>
      <protection/>
    </xf>
    <xf numFmtId="0" fontId="25" fillId="5" borderId="49" xfId="26" applyFont="1" applyFill="1" applyBorder="1" applyAlignment="1" applyProtection="1">
      <alignment horizontal="center"/>
      <protection/>
    </xf>
    <xf numFmtId="182" fontId="25" fillId="5" borderId="48" xfId="26" applyNumberFormat="1" applyFont="1" applyFill="1" applyBorder="1" applyAlignment="1" applyProtection="1">
      <alignment horizontal="center"/>
      <protection/>
    </xf>
    <xf numFmtId="0" fontId="8" fillId="6" borderId="50" xfId="26" applyFont="1" applyFill="1" applyBorder="1">
      <alignment/>
      <protection/>
    </xf>
    <xf numFmtId="0" fontId="8" fillId="6" borderId="51" xfId="26" applyFont="1" applyFill="1" applyBorder="1">
      <alignment/>
      <protection/>
    </xf>
    <xf numFmtId="0" fontId="8" fillId="6" borderId="51" xfId="26" applyFont="1" applyFill="1" applyBorder="1" applyAlignment="1">
      <alignment horizontal="center"/>
      <protection/>
    </xf>
    <xf numFmtId="2" fontId="8" fillId="6" borderId="51" xfId="26" applyNumberFormat="1" applyFont="1" applyFill="1" applyBorder="1">
      <alignment/>
      <protection/>
    </xf>
    <xf numFmtId="0" fontId="8" fillId="6" borderId="52" xfId="26" applyFont="1" applyFill="1" applyBorder="1">
      <alignment/>
      <protection/>
    </xf>
    <xf numFmtId="0" fontId="8" fillId="0" borderId="0" xfId="27" applyFont="1">
      <alignment/>
      <protection/>
    </xf>
    <xf numFmtId="0" fontId="8" fillId="0" borderId="0" xfId="27" applyFont="1" applyAlignment="1">
      <alignment horizontal="center"/>
      <protection/>
    </xf>
    <xf numFmtId="2" fontId="8" fillId="0" borderId="0" xfId="27" applyNumberFormat="1" applyFont="1">
      <alignment/>
      <protection/>
    </xf>
    <xf numFmtId="1" fontId="8" fillId="0" borderId="0" xfId="27" applyNumberFormat="1" applyFont="1">
      <alignment/>
      <protection/>
    </xf>
    <xf numFmtId="0" fontId="25" fillId="7" borderId="1" xfId="27" applyFont="1" applyFill="1" applyBorder="1">
      <alignment/>
      <protection/>
    </xf>
    <xf numFmtId="0" fontId="25" fillId="7" borderId="35" xfId="27" applyFont="1" applyFill="1" applyBorder="1">
      <alignment/>
      <protection/>
    </xf>
    <xf numFmtId="0" fontId="25" fillId="7" borderId="35" xfId="27" applyFont="1" applyFill="1" applyBorder="1" applyAlignment="1">
      <alignment horizontal="center"/>
      <protection/>
    </xf>
    <xf numFmtId="0" fontId="25" fillId="7" borderId="36" xfId="27" applyFont="1" applyFill="1" applyBorder="1">
      <alignment/>
      <protection/>
    </xf>
    <xf numFmtId="0" fontId="26" fillId="5" borderId="18" xfId="27" applyFont="1" applyFill="1" applyBorder="1" applyAlignment="1">
      <alignment horizontal="center"/>
      <protection/>
    </xf>
    <xf numFmtId="0" fontId="26" fillId="5" borderId="3" xfId="27" applyFont="1" applyFill="1" applyBorder="1" applyAlignment="1">
      <alignment horizontal="center"/>
      <protection/>
    </xf>
    <xf numFmtId="0" fontId="11" fillId="0" borderId="0" xfId="27">
      <alignment/>
      <protection/>
    </xf>
    <xf numFmtId="0" fontId="25" fillId="7" borderId="4" xfId="27" applyFont="1" applyFill="1" applyBorder="1">
      <alignment/>
      <protection/>
    </xf>
    <xf numFmtId="0" fontId="13" fillId="7" borderId="0" xfId="27" applyFont="1" applyFill="1" applyBorder="1" applyAlignment="1">
      <alignment horizontal="center"/>
      <protection/>
    </xf>
    <xf numFmtId="0" fontId="35" fillId="7" borderId="0" xfId="27" applyFont="1" applyFill="1" applyBorder="1" applyAlignment="1">
      <alignment horizontal="center"/>
      <protection/>
    </xf>
    <xf numFmtId="0" fontId="38" fillId="5" borderId="5" xfId="27" applyFont="1" applyFill="1" applyBorder="1" applyAlignment="1">
      <alignment horizontal="center"/>
      <protection/>
    </xf>
    <xf numFmtId="0" fontId="25" fillId="7" borderId="20" xfId="27" applyFont="1" applyFill="1" applyBorder="1">
      <alignment/>
      <protection/>
    </xf>
    <xf numFmtId="0" fontId="26" fillId="5" borderId="31" xfId="27" applyFont="1" applyFill="1" applyBorder="1" applyAlignment="1">
      <alignment horizontal="center"/>
      <protection/>
    </xf>
    <xf numFmtId="0" fontId="13" fillId="5" borderId="3" xfId="27" applyFont="1" applyFill="1" applyBorder="1" applyAlignment="1">
      <alignment horizontal="center"/>
      <protection/>
    </xf>
    <xf numFmtId="0" fontId="25" fillId="7" borderId="26" xfId="27" applyFont="1" applyFill="1" applyBorder="1">
      <alignment/>
      <protection/>
    </xf>
    <xf numFmtId="0" fontId="25" fillId="7" borderId="27" xfId="27" applyFont="1" applyFill="1" applyBorder="1">
      <alignment/>
      <protection/>
    </xf>
    <xf numFmtId="0" fontId="25" fillId="7" borderId="27" xfId="27" applyFont="1" applyFill="1" applyBorder="1" applyAlignment="1">
      <alignment horizontal="center"/>
      <protection/>
    </xf>
    <xf numFmtId="0" fontId="25" fillId="7" borderId="28" xfId="27" applyFont="1" applyFill="1" applyBorder="1">
      <alignment/>
      <protection/>
    </xf>
    <xf numFmtId="0" fontId="26" fillId="5" borderId="26" xfId="27" applyFont="1" applyFill="1" applyBorder="1" applyAlignment="1">
      <alignment horizontal="center"/>
      <protection/>
    </xf>
    <xf numFmtId="0" fontId="13" fillId="5" borderId="48" xfId="27" applyFont="1" applyFill="1" applyBorder="1" applyAlignment="1">
      <alignment horizontal="center"/>
      <protection/>
    </xf>
    <xf numFmtId="1" fontId="25" fillId="5" borderId="53" xfId="27" applyNumberFormat="1" applyFont="1" applyFill="1" applyBorder="1" applyAlignment="1">
      <alignment horizontal="center"/>
      <protection/>
    </xf>
    <xf numFmtId="1" fontId="25" fillId="5" borderId="54" xfId="27" applyNumberFormat="1" applyFont="1" applyFill="1" applyBorder="1" applyAlignment="1">
      <alignment horizontal="centerContinuous"/>
      <protection/>
    </xf>
    <xf numFmtId="1" fontId="25" fillId="5" borderId="55" xfId="27" applyNumberFormat="1" applyFont="1" applyFill="1" applyBorder="1" applyAlignment="1">
      <alignment horizontal="centerContinuous"/>
      <protection/>
    </xf>
    <xf numFmtId="1" fontId="25" fillId="5" borderId="56" xfId="27" applyNumberFormat="1" applyFont="1" applyFill="1" applyBorder="1" applyAlignment="1">
      <alignment horizontal="centerContinuous"/>
      <protection/>
    </xf>
    <xf numFmtId="1" fontId="25" fillId="5" borderId="57" xfId="27" applyNumberFormat="1" applyFont="1" applyFill="1" applyBorder="1" applyAlignment="1">
      <alignment horizontal="center"/>
      <protection/>
    </xf>
    <xf numFmtId="1" fontId="25" fillId="5" borderId="44" xfId="27" applyNumberFormat="1" applyFont="1" applyFill="1" applyBorder="1" applyAlignment="1">
      <alignment horizontal="center"/>
      <protection/>
    </xf>
    <xf numFmtId="1" fontId="25" fillId="5" borderId="29" xfId="27" applyNumberFormat="1" applyFont="1" applyFill="1" applyBorder="1" applyAlignment="1">
      <alignment horizontal="center"/>
      <protection/>
    </xf>
    <xf numFmtId="1" fontId="25" fillId="5" borderId="58" xfId="27" applyNumberFormat="1" applyFont="1" applyFill="1" applyBorder="1" applyAlignment="1">
      <alignment horizontal="center"/>
      <protection/>
    </xf>
    <xf numFmtId="1" fontId="25" fillId="7" borderId="0" xfId="27" applyNumberFormat="1" applyFont="1" applyFill="1" applyAlignment="1">
      <alignment horizontal="center"/>
      <protection/>
    </xf>
    <xf numFmtId="1" fontId="25" fillId="7" borderId="0" xfId="27" applyNumberFormat="1" applyFont="1" applyFill="1" applyBorder="1" applyAlignment="1" applyProtection="1">
      <alignment horizontal="center"/>
      <protection/>
    </xf>
    <xf numFmtId="0" fontId="8" fillId="0" borderId="0" xfId="27" applyFont="1" applyBorder="1">
      <alignment/>
      <protection/>
    </xf>
    <xf numFmtId="0" fontId="8" fillId="0" borderId="0" xfId="28" applyFont="1" applyAlignment="1">
      <alignment horizontal="center"/>
      <protection/>
    </xf>
    <xf numFmtId="0" fontId="8" fillId="0" borderId="0" xfId="28" applyFont="1">
      <alignment/>
      <protection/>
    </xf>
    <xf numFmtId="0" fontId="8" fillId="8" borderId="0" xfId="28" applyFont="1" applyFill="1" applyAlignment="1">
      <alignment horizontal="center"/>
      <protection/>
    </xf>
    <xf numFmtId="0" fontId="8" fillId="8" borderId="0" xfId="28" applyFont="1" applyFill="1" applyAlignment="1" applyProtection="1">
      <alignment horizontal="center"/>
      <protection/>
    </xf>
    <xf numFmtId="0" fontId="8" fillId="7" borderId="12" xfId="28" applyFont="1" applyFill="1" applyBorder="1" applyAlignment="1">
      <alignment horizontal="right"/>
      <protection/>
    </xf>
    <xf numFmtId="0" fontId="8" fillId="7" borderId="14" xfId="28" applyFont="1" applyFill="1" applyBorder="1" applyAlignment="1">
      <alignment horizontal="left"/>
      <protection/>
    </xf>
    <xf numFmtId="0" fontId="25" fillId="5" borderId="34" xfId="28" applyFont="1" applyFill="1" applyBorder="1" applyAlignment="1">
      <alignment horizontal="center"/>
      <protection/>
    </xf>
    <xf numFmtId="0" fontId="8" fillId="7" borderId="0" xfId="28" applyFont="1" applyFill="1" applyAlignment="1" applyProtection="1">
      <alignment horizontal="center"/>
      <protection/>
    </xf>
    <xf numFmtId="0" fontId="8" fillId="0" borderId="0" xfId="28" applyFont="1" applyAlignment="1" applyProtection="1">
      <alignment horizontal="center"/>
      <protection/>
    </xf>
    <xf numFmtId="0" fontId="42" fillId="7" borderId="54" xfId="28" applyFont="1" applyFill="1" applyBorder="1" applyAlignment="1">
      <alignment horizontal="right"/>
      <protection/>
    </xf>
    <xf numFmtId="0" fontId="8" fillId="7" borderId="56" xfId="28" applyFont="1" applyFill="1" applyBorder="1" applyAlignment="1">
      <alignment horizontal="center"/>
      <protection/>
    </xf>
    <xf numFmtId="0" fontId="8" fillId="7" borderId="56" xfId="28" applyFont="1" applyFill="1" applyBorder="1">
      <alignment/>
      <protection/>
    </xf>
    <xf numFmtId="0" fontId="42" fillId="7" borderId="46" xfId="28" applyFont="1" applyFill="1" applyBorder="1" applyAlignment="1">
      <alignment horizontal="right"/>
      <protection/>
    </xf>
    <xf numFmtId="0" fontId="8" fillId="7" borderId="59" xfId="28" applyFont="1" applyFill="1" applyBorder="1" applyAlignment="1">
      <alignment horizontal="center"/>
      <protection/>
    </xf>
    <xf numFmtId="0" fontId="8" fillId="7" borderId="59" xfId="28" applyFont="1" applyFill="1" applyBorder="1">
      <alignment/>
      <protection/>
    </xf>
    <xf numFmtId="0" fontId="42" fillId="7" borderId="44" xfId="28" applyFont="1" applyFill="1" applyBorder="1" applyAlignment="1">
      <alignment horizontal="right"/>
      <protection/>
    </xf>
    <xf numFmtId="0" fontId="8" fillId="7" borderId="58" xfId="28" applyFont="1" applyFill="1" applyBorder="1" applyAlignment="1">
      <alignment horizontal="center"/>
      <protection/>
    </xf>
    <xf numFmtId="0" fontId="8" fillId="7" borderId="58" xfId="28" applyFont="1" applyFill="1" applyBorder="1">
      <alignment/>
      <protection/>
    </xf>
    <xf numFmtId="0" fontId="8" fillId="6" borderId="0" xfId="28" applyFont="1" applyFill="1" applyProtection="1">
      <alignment/>
      <protection/>
    </xf>
    <xf numFmtId="0" fontId="8" fillId="0" borderId="0" xfId="28" applyFont="1" applyProtection="1">
      <alignment/>
      <protection/>
    </xf>
    <xf numFmtId="0" fontId="25" fillId="0" borderId="0" xfId="28" applyFont="1" applyAlignment="1">
      <alignment horizontal="center"/>
      <protection/>
    </xf>
    <xf numFmtId="0" fontId="25" fillId="0" borderId="0" xfId="28" applyFont="1">
      <alignment/>
      <protection/>
    </xf>
    <xf numFmtId="0" fontId="43" fillId="0" borderId="0" xfId="28" applyFont="1" applyAlignment="1">
      <alignment horizontal="right"/>
      <protection/>
    </xf>
    <xf numFmtId="0" fontId="25" fillId="0" borderId="0" xfId="28" applyFont="1" applyAlignment="1">
      <alignment horizontal="left"/>
      <protection/>
    </xf>
    <xf numFmtId="0" fontId="8" fillId="0" borderId="0" xfId="29" applyFont="1">
      <alignment/>
      <protection/>
    </xf>
    <xf numFmtId="0" fontId="8" fillId="6" borderId="0" xfId="29" applyFont="1" applyFill="1" applyAlignment="1">
      <alignment horizontal="center"/>
      <protection/>
    </xf>
    <xf numFmtId="0" fontId="8" fillId="6" borderId="0" xfId="29" applyFont="1" applyFill="1" applyAlignment="1" applyProtection="1">
      <alignment horizontal="center"/>
      <protection/>
    </xf>
    <xf numFmtId="0" fontId="8" fillId="6" borderId="0" xfId="29" applyFont="1" applyFill="1">
      <alignment/>
      <protection/>
    </xf>
    <xf numFmtId="0" fontId="25" fillId="5" borderId="34" xfId="29" applyFont="1" applyFill="1" applyBorder="1" applyAlignment="1">
      <alignment horizontal="center"/>
      <protection/>
    </xf>
    <xf numFmtId="0" fontId="8" fillId="7" borderId="0" xfId="29" applyFont="1" applyFill="1" applyAlignment="1" applyProtection="1">
      <alignment horizontal="center"/>
      <protection/>
    </xf>
    <xf numFmtId="0" fontId="8" fillId="0" borderId="0" xfId="29" applyFont="1" applyAlignment="1" applyProtection="1">
      <alignment horizontal="center"/>
      <protection/>
    </xf>
    <xf numFmtId="0" fontId="8" fillId="0" borderId="0" xfId="29" applyFont="1" applyAlignment="1">
      <alignment horizontal="center"/>
      <protection/>
    </xf>
    <xf numFmtId="0" fontId="8" fillId="6" borderId="0" xfId="29" applyFont="1" applyFill="1" applyProtection="1">
      <alignment/>
      <protection/>
    </xf>
    <xf numFmtId="0" fontId="8" fillId="7" borderId="0" xfId="29" applyFont="1" applyFill="1" applyProtection="1">
      <alignment/>
      <protection/>
    </xf>
    <xf numFmtId="0" fontId="8" fillId="0" borderId="0" xfId="29" applyFont="1" applyProtection="1">
      <alignment/>
      <protection/>
    </xf>
    <xf numFmtId="0" fontId="8" fillId="7" borderId="0" xfId="29" applyFont="1" applyFill="1" applyAlignment="1">
      <alignment horizontal="center"/>
      <protection/>
    </xf>
    <xf numFmtId="0" fontId="44" fillId="0" borderId="0" xfId="29" applyFont="1">
      <alignment/>
      <protection/>
    </xf>
    <xf numFmtId="0" fontId="44" fillId="0" borderId="0" xfId="29" applyFont="1" applyProtection="1">
      <alignment/>
      <protection/>
    </xf>
    <xf numFmtId="0" fontId="44" fillId="5" borderId="12" xfId="29" applyFont="1" applyFill="1" applyBorder="1">
      <alignment/>
      <protection/>
    </xf>
    <xf numFmtId="0" fontId="44" fillId="5" borderId="13" xfId="29" applyFont="1" applyFill="1" applyBorder="1" applyAlignment="1">
      <alignment horizontal="center"/>
      <protection/>
    </xf>
    <xf numFmtId="0" fontId="44" fillId="5" borderId="14" xfId="29" applyFont="1" applyFill="1" applyBorder="1">
      <alignment/>
      <protection/>
    </xf>
    <xf numFmtId="1" fontId="44" fillId="7" borderId="0" xfId="29" applyNumberFormat="1" applyFont="1" applyFill="1" applyAlignment="1">
      <alignment horizontal="center"/>
      <protection/>
    </xf>
    <xf numFmtId="0" fontId="44" fillId="0" borderId="0" xfId="29" applyFont="1" applyAlignment="1">
      <alignment horizontal="center"/>
      <protection/>
    </xf>
    <xf numFmtId="0" fontId="46" fillId="0" borderId="0" xfId="29" applyFont="1">
      <alignment/>
      <protection/>
    </xf>
    <xf numFmtId="0" fontId="46" fillId="0" borderId="0" xfId="29" applyFont="1" applyAlignment="1">
      <alignment horizontal="center"/>
      <protection/>
    </xf>
    <xf numFmtId="0" fontId="52" fillId="3" borderId="0" xfId="0" applyFont="1" applyFill="1" applyAlignment="1">
      <alignment horizontal="center"/>
    </xf>
    <xf numFmtId="0" fontId="53" fillId="3" borderId="0" xfId="0" applyFont="1" applyFill="1" applyBorder="1" applyAlignment="1">
      <alignment/>
    </xf>
    <xf numFmtId="0" fontId="53" fillId="0" borderId="0" xfId="0" applyFont="1" applyAlignment="1">
      <alignment/>
    </xf>
    <xf numFmtId="0" fontId="9" fillId="9" borderId="0" xfId="22" applyFont="1" applyFill="1">
      <alignment/>
      <protection/>
    </xf>
    <xf numFmtId="0" fontId="9" fillId="9" borderId="0" xfId="20" applyFont="1" applyFill="1">
      <alignment/>
      <protection/>
    </xf>
    <xf numFmtId="0" fontId="10" fillId="9" borderId="0" xfId="21" applyFont="1" applyFill="1">
      <alignment/>
      <protection/>
    </xf>
    <xf numFmtId="0" fontId="10" fillId="9" borderId="0" xfId="23" applyFont="1" applyFill="1">
      <alignment/>
      <protection/>
    </xf>
    <xf numFmtId="0" fontId="8" fillId="9" borderId="0" xfId="24" applyFont="1" applyFill="1">
      <alignment/>
      <protection/>
    </xf>
    <xf numFmtId="0" fontId="8" fillId="9" borderId="0" xfId="24" applyFont="1" applyFill="1" applyAlignment="1">
      <alignment horizontal="center"/>
      <protection/>
    </xf>
    <xf numFmtId="0" fontId="8" fillId="9" borderId="0" xfId="25" applyFont="1" applyFill="1">
      <alignment/>
      <protection/>
    </xf>
    <xf numFmtId="0" fontId="8" fillId="9" borderId="0" xfId="25" applyFont="1" applyFill="1" applyAlignment="1">
      <alignment horizontal="center"/>
      <protection/>
    </xf>
    <xf numFmtId="0" fontId="8" fillId="9" borderId="0" xfId="26" applyFont="1" applyFill="1">
      <alignment/>
      <protection/>
    </xf>
    <xf numFmtId="0" fontId="8" fillId="9" borderId="0" xfId="26" applyFont="1" applyFill="1" applyAlignment="1">
      <alignment horizontal="center"/>
      <protection/>
    </xf>
    <xf numFmtId="2" fontId="8" fillId="9" borderId="0" xfId="26" applyNumberFormat="1" applyFont="1" applyFill="1">
      <alignment/>
      <protection/>
    </xf>
    <xf numFmtId="0" fontId="8" fillId="9" borderId="0" xfId="27" applyFont="1" applyFill="1">
      <alignment/>
      <protection/>
    </xf>
    <xf numFmtId="0" fontId="8" fillId="9" borderId="0" xfId="27" applyFont="1" applyFill="1" applyAlignment="1">
      <alignment horizontal="center"/>
      <protection/>
    </xf>
    <xf numFmtId="2" fontId="8" fillId="9" borderId="0" xfId="27" applyNumberFormat="1" applyFont="1" applyFill="1">
      <alignment/>
      <protection/>
    </xf>
    <xf numFmtId="1" fontId="8" fillId="9" borderId="0" xfId="27" applyNumberFormat="1" applyFont="1" applyFill="1">
      <alignment/>
      <protection/>
    </xf>
    <xf numFmtId="0" fontId="8" fillId="9" borderId="0" xfId="28" applyFont="1" applyFill="1" applyAlignment="1">
      <alignment horizontal="center"/>
      <protection/>
    </xf>
    <xf numFmtId="0" fontId="8" fillId="9" borderId="0" xfId="28" applyFont="1" applyFill="1">
      <alignment/>
      <protection/>
    </xf>
    <xf numFmtId="0" fontId="8" fillId="9" borderId="0" xfId="29" applyFont="1" applyFill="1">
      <alignment/>
      <protection/>
    </xf>
    <xf numFmtId="0" fontId="8" fillId="9" borderId="0" xfId="29" applyFont="1" applyFill="1" applyAlignment="1">
      <alignment horizontal="center"/>
      <protection/>
    </xf>
    <xf numFmtId="0" fontId="18" fillId="0" borderId="0" xfId="22" applyFont="1">
      <alignment/>
      <protection/>
    </xf>
    <xf numFmtId="0" fontId="18" fillId="0" borderId="0" xfId="23" applyFont="1">
      <alignment/>
      <protection/>
    </xf>
  </cellXfs>
  <cellStyles count="19">
    <cellStyle name="Normal" xfId="0"/>
    <cellStyle name="Comma_F211" xfId="15"/>
    <cellStyle name="Currency [0]_F211" xfId="16"/>
    <cellStyle name="Currency_F211" xfId="17"/>
    <cellStyle name="Comma" xfId="18"/>
    <cellStyle name="Comma [0]" xfId="19"/>
    <cellStyle name="Normal_F211" xfId="20"/>
    <cellStyle name="Normal_F212" xfId="21"/>
    <cellStyle name="Normal_F213" xfId="22"/>
    <cellStyle name="Normal_F214" xfId="23"/>
    <cellStyle name="Normal_F221" xfId="24"/>
    <cellStyle name="Normal_F222" xfId="25"/>
    <cellStyle name="Normal_F271" xfId="26"/>
    <cellStyle name="Normal_F272" xfId="27"/>
    <cellStyle name="Normal_F281" xfId="28"/>
    <cellStyle name="Normal_F282" xfId="29"/>
    <cellStyle name="Percent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Composizione dei fumi in funzione dell'eccesso d'aria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525"/>
          <c:w val="0.882"/>
          <c:h val="0.615"/>
        </c:manualLayout>
      </c:layout>
      <c:lineChart>
        <c:grouping val="standard"/>
        <c:varyColors val="0"/>
        <c:ser>
          <c:idx val="0"/>
          <c:order val="0"/>
          <c:tx>
            <c:strRef>
              <c:f>'F272'!$P$7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'F272'!$O$8:$O$43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'F272'!$P$8:$P$43</c:f>
              <c:numCache>
                <c:ptCount val="36"/>
                <c:pt idx="0">
                  <c:v>17.277486910994767</c:v>
                </c:pt>
                <c:pt idx="1">
                  <c:v>17.11618257261411</c:v>
                </c:pt>
                <c:pt idx="2">
                  <c:v>16.95786228160329</c:v>
                </c:pt>
                <c:pt idx="3">
                  <c:v>16.802443991853362</c:v>
                </c:pt>
                <c:pt idx="4">
                  <c:v>16.64984863773966</c:v>
                </c:pt>
                <c:pt idx="5">
                  <c:v>16.499999999999996</c:v>
                </c:pt>
                <c:pt idx="6">
                  <c:v>16.352824578790884</c:v>
                </c:pt>
                <c:pt idx="7">
                  <c:v>16.208251473477407</c:v>
                </c:pt>
                <c:pt idx="8">
                  <c:v>16.06621226874391</c:v>
                </c:pt>
                <c:pt idx="9">
                  <c:v>15.926640926640925</c:v>
                </c:pt>
                <c:pt idx="10">
                  <c:v>15.789473684210526</c:v>
                </c:pt>
                <c:pt idx="11">
                  <c:v>15.654648956356738</c:v>
                </c:pt>
                <c:pt idx="12">
                  <c:v>15.52210724365005</c:v>
                </c:pt>
                <c:pt idx="13">
                  <c:v>15.39179104477612</c:v>
                </c:pt>
                <c:pt idx="14">
                  <c:v>15.263644773358001</c:v>
                </c:pt>
                <c:pt idx="15">
                  <c:v>15.137614678899084</c:v>
                </c:pt>
                <c:pt idx="16">
                  <c:v>15.013648771610558</c:v>
                </c:pt>
                <c:pt idx="17">
                  <c:v>14.89169675090253</c:v>
                </c:pt>
                <c:pt idx="18">
                  <c:v>14.771709937332139</c:v>
                </c:pt>
                <c:pt idx="19">
                  <c:v>14.65364120781528</c:v>
                </c:pt>
                <c:pt idx="20">
                  <c:v>14.537444933920707</c:v>
                </c:pt>
                <c:pt idx="21">
                  <c:v>14.423076923076925</c:v>
                </c:pt>
                <c:pt idx="22">
                  <c:v>14.310494362532525</c:v>
                </c:pt>
                <c:pt idx="23">
                  <c:v>14.199655765920827</c:v>
                </c:pt>
                <c:pt idx="24">
                  <c:v>14.090520922288643</c:v>
                </c:pt>
                <c:pt idx="25">
                  <c:v>13.983050847457628</c:v>
                </c:pt>
                <c:pt idx="26">
                  <c:v>13.877207737594619</c:v>
                </c:pt>
                <c:pt idx="27">
                  <c:v>13.772954924874792</c:v>
                </c:pt>
                <c:pt idx="28">
                  <c:v>13.67025683512842</c:v>
                </c:pt>
                <c:pt idx="29">
                  <c:v>13.569078947368421</c:v>
                </c:pt>
                <c:pt idx="30">
                  <c:v>13.469387755102039</c:v>
                </c:pt>
                <c:pt idx="31">
                  <c:v>13.371150729335493</c:v>
                </c:pt>
                <c:pt idx="32">
                  <c:v>13.274336283185843</c:v>
                </c:pt>
                <c:pt idx="33">
                  <c:v>13.17891373801917</c:v>
                </c:pt>
                <c:pt idx="34">
                  <c:v>13.08485329103886</c:v>
                </c:pt>
                <c:pt idx="35">
                  <c:v>12.992125984251967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'F272'!$Q$7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'F272'!$O$8:$O$43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'F272'!$Q$8:$Q$43</c:f>
              <c:numCache>
                <c:ptCount val="36"/>
                <c:pt idx="0">
                  <c:v>9.424083769633508</c:v>
                </c:pt>
                <c:pt idx="1">
                  <c:v>9.336099585062241</c:v>
                </c:pt>
                <c:pt idx="2">
                  <c:v>9.249743062692701</c:v>
                </c:pt>
                <c:pt idx="3">
                  <c:v>9.164969450101832</c:v>
                </c:pt>
                <c:pt idx="4">
                  <c:v>9.081735620585267</c:v>
                </c:pt>
                <c:pt idx="5">
                  <c:v>8.999999999999998</c:v>
                </c:pt>
                <c:pt idx="6">
                  <c:v>8.9197224975223</c:v>
                </c:pt>
                <c:pt idx="7">
                  <c:v>8.840864440078585</c:v>
                </c:pt>
                <c:pt idx="8">
                  <c:v>8.763388510223951</c:v>
                </c:pt>
                <c:pt idx="9">
                  <c:v>8.687258687258687</c:v>
                </c:pt>
                <c:pt idx="10">
                  <c:v>8.61244019138756</c:v>
                </c:pt>
                <c:pt idx="11">
                  <c:v>8.538899430740038</c:v>
                </c:pt>
                <c:pt idx="12">
                  <c:v>8.466603951081844</c:v>
                </c:pt>
                <c:pt idx="13">
                  <c:v>8.395522388059701</c:v>
                </c:pt>
                <c:pt idx="14">
                  <c:v>8.325624421831638</c:v>
                </c:pt>
                <c:pt idx="15">
                  <c:v>8.256880733944955</c:v>
                </c:pt>
                <c:pt idx="16">
                  <c:v>8.18926296633303</c:v>
                </c:pt>
                <c:pt idx="17">
                  <c:v>8.12274368231047</c:v>
                </c:pt>
                <c:pt idx="18">
                  <c:v>8.057296329453893</c:v>
                </c:pt>
                <c:pt idx="19">
                  <c:v>7.9928952042628785</c:v>
                </c:pt>
                <c:pt idx="20">
                  <c:v>7.929515418502203</c:v>
                </c:pt>
                <c:pt idx="21">
                  <c:v>7.8671328671328675</c:v>
                </c:pt>
                <c:pt idx="22">
                  <c:v>7.805724197745012</c:v>
                </c:pt>
                <c:pt idx="23">
                  <c:v>7.74526678141136</c:v>
                </c:pt>
                <c:pt idx="24">
                  <c:v>7.685738684884715</c:v>
                </c:pt>
                <c:pt idx="25">
                  <c:v>7.627118644067797</c:v>
                </c:pt>
                <c:pt idx="26">
                  <c:v>7.5693860386879726</c:v>
                </c:pt>
                <c:pt idx="27">
                  <c:v>7.512520868113523</c:v>
                </c:pt>
                <c:pt idx="28">
                  <c:v>7.456503728251865</c:v>
                </c:pt>
                <c:pt idx="29">
                  <c:v>7.401315789473683</c:v>
                </c:pt>
                <c:pt idx="30">
                  <c:v>7.346938775510203</c:v>
                </c:pt>
                <c:pt idx="31">
                  <c:v>7.293354943273905</c:v>
                </c:pt>
                <c:pt idx="32">
                  <c:v>7.240547063555912</c:v>
                </c:pt>
                <c:pt idx="33">
                  <c:v>7.1884984025559095</c:v>
                </c:pt>
                <c:pt idx="34">
                  <c:v>7.137192704203013</c:v>
                </c:pt>
                <c:pt idx="35">
                  <c:v>7.0866141732283445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'F272'!$R$7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'F272'!$O$8:$O$43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'F272'!$R$8:$R$43</c:f>
              <c:numCache>
                <c:ptCount val="36"/>
                <c:pt idx="0">
                  <c:v>0</c:v>
                </c:pt>
                <c:pt idx="1">
                  <c:v>0.2074688796680498</c:v>
                </c:pt>
                <c:pt idx="2">
                  <c:v>0.4110996916752312</c:v>
                </c:pt>
                <c:pt idx="3">
                  <c:v>0.6109979633401221</c:v>
                </c:pt>
                <c:pt idx="4">
                  <c:v>0.8072653884964682</c:v>
                </c:pt>
                <c:pt idx="5">
                  <c:v>0.9999999999999999</c:v>
                </c:pt>
                <c:pt idx="6">
                  <c:v>1.1892963330029733</c:v>
                </c:pt>
                <c:pt idx="7">
                  <c:v>1.3752455795677798</c:v>
                </c:pt>
                <c:pt idx="8">
                  <c:v>1.5579357351509246</c:v>
                </c:pt>
                <c:pt idx="9">
                  <c:v>1.7374517374517375</c:v>
                </c:pt>
                <c:pt idx="10">
                  <c:v>1.9138755980861244</c:v>
                </c:pt>
                <c:pt idx="11">
                  <c:v>2.087286527514231</c:v>
                </c:pt>
                <c:pt idx="12">
                  <c:v>2.257761053621825</c:v>
                </c:pt>
                <c:pt idx="13">
                  <c:v>2.425373134328358</c:v>
                </c:pt>
                <c:pt idx="14">
                  <c:v>2.5901942645698424</c:v>
                </c:pt>
                <c:pt idx="15">
                  <c:v>2.7522935779816518</c:v>
                </c:pt>
                <c:pt idx="16">
                  <c:v>2.9117379435850776</c:v>
                </c:pt>
                <c:pt idx="17">
                  <c:v>3.068592057761733</c:v>
                </c:pt>
                <c:pt idx="18">
                  <c:v>3.222918531781558</c:v>
                </c:pt>
                <c:pt idx="19">
                  <c:v>3.3747779751332154</c:v>
                </c:pt>
                <c:pt idx="20">
                  <c:v>3.524229074889868</c:v>
                </c:pt>
                <c:pt idx="21">
                  <c:v>3.6713286713286717</c:v>
                </c:pt>
                <c:pt idx="22">
                  <c:v>3.8161318300086724</c:v>
                </c:pt>
                <c:pt idx="23">
                  <c:v>3.9586919104991396</c:v>
                </c:pt>
                <c:pt idx="24">
                  <c:v>4.0990606319385146</c:v>
                </c:pt>
                <c:pt idx="25">
                  <c:v>4.237288135593221</c:v>
                </c:pt>
                <c:pt idx="26">
                  <c:v>4.373423044575273</c:v>
                </c:pt>
                <c:pt idx="27">
                  <c:v>4.507512520868113</c:v>
                </c:pt>
                <c:pt idx="28">
                  <c:v>4.63960231980116</c:v>
                </c:pt>
                <c:pt idx="29">
                  <c:v>4.769736842105264</c:v>
                </c:pt>
                <c:pt idx="30">
                  <c:v>4.8979591836734695</c:v>
                </c:pt>
                <c:pt idx="31">
                  <c:v>5.0243111831442455</c:v>
                </c:pt>
                <c:pt idx="32">
                  <c:v>5.148833467417538</c:v>
                </c:pt>
                <c:pt idx="33">
                  <c:v>5.271565495207667</c:v>
                </c:pt>
                <c:pt idx="34">
                  <c:v>5.392545598731165</c:v>
                </c:pt>
                <c:pt idx="35">
                  <c:v>5.5118110236220454</c:v>
                </c:pt>
              </c:numCache>
            </c:numRef>
          </c:val>
          <c:smooth val="0"/>
        </c:ser>
        <c:axId val="23099116"/>
        <c:axId val="6565453"/>
      </c:lineChart>
      <c:catAx>
        <c:axId val="2309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Eccesso d'aria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5453"/>
        <c:crosses val="autoZero"/>
        <c:auto val="0"/>
        <c:lblOffset val="100"/>
        <c:tickLblSkip val="5"/>
        <c:tickMarkSkip val="5"/>
        <c:noMultiLvlLbl val="0"/>
      </c:catAx>
      <c:valAx>
        <c:axId val="656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Composizione dei fumi % in massa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99116"/>
        <c:crossesAt val="1"/>
        <c:crossBetween val="midCat"/>
        <c:dispUnits/>
      </c:valAx>
      <c:spPr>
        <a:solidFill>
          <a:srgbClr val="E3E3E3"/>
        </a:solidFill>
        <a:ln w="3175"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D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G° in funzione di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66"/>
          <c:w val="0.7262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'F282'!$J$18</c:f>
              <c:strCache>
                <c:ptCount val="1"/>
                <c:pt idx="0">
                  <c:v>DG°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'F282'!$I$19:$I$119</c:f>
              <c:numCache>
                <c:ptCount val="10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</c:numCache>
            </c:numRef>
          </c:cat>
          <c:val>
            <c:numRef>
              <c:f>'F282'!$J$19:$J$119</c:f>
              <c:numCache>
                <c:ptCount val="101"/>
                <c:pt idx="0">
                  <c:v>-7865.964174563251</c:v>
                </c:pt>
                <c:pt idx="1">
                  <c:v>-7628.67006304877</c:v>
                </c:pt>
                <c:pt idx="2">
                  <c:v>-7390.962422092936</c:v>
                </c:pt>
                <c:pt idx="3">
                  <c:v>-7152.867632093174</c:v>
                </c:pt>
                <c:pt idx="4">
                  <c:v>-6914.411460955063</c:v>
                </c:pt>
                <c:pt idx="5">
                  <c:v>-6675.619092807692</c:v>
                </c:pt>
                <c:pt idx="6">
                  <c:v>-6436.515154951559</c:v>
                </c:pt>
                <c:pt idx="7">
                  <c:v>-6197.123743172888</c:v>
                </c:pt>
                <c:pt idx="8">
                  <c:v>-5957.468445546427</c:v>
                </c:pt>
                <c:pt idx="9">
                  <c:v>-5717.5723648377825</c:v>
                </c:pt>
                <c:pt idx="10">
                  <c:v>-5477.458139606821</c:v>
                </c:pt>
                <c:pt idx="11">
                  <c:v>-5237.147964104988</c:v>
                </c:pt>
                <c:pt idx="12">
                  <c:v>-4996.663607051421</c:v>
                </c:pt>
                <c:pt idx="13">
                  <c:v>-4756.026429365833</c:v>
                </c:pt>
                <c:pt idx="14">
                  <c:v>-4515.257400929466</c:v>
                </c:pt>
                <c:pt idx="15">
                  <c:v>-4274.377116440046</c:v>
                </c:pt>
                <c:pt idx="16">
                  <c:v>-4033.405810420878</c:v>
                </c:pt>
                <c:pt idx="17">
                  <c:v>-3792.3633714399875</c:v>
                </c:pt>
                <c:pt idx="18">
                  <c:v>-3551.269355590386</c:v>
                </c:pt>
                <c:pt idx="19">
                  <c:v>-3310.142999279051</c:v>
                </c:pt>
                <c:pt idx="20">
                  <c:v>-3069.0032313682023</c:v>
                </c:pt>
                <c:pt idx="21">
                  <c:v>-2827.8686847094505</c:v>
                </c:pt>
                <c:pt idx="22">
                  <c:v>-2586.7577071082997</c:v>
                </c:pt>
                <c:pt idx="23">
                  <c:v>-2345.688371753702</c:v>
                </c:pt>
                <c:pt idx="24">
                  <c:v>-2104.67848714496</c:v>
                </c:pt>
                <c:pt idx="25">
                  <c:v>-1863.74560654581</c:v>
                </c:pt>
                <c:pt idx="26">
                  <c:v>-1622.9070369936126</c:v>
                </c:pt>
                <c:pt idx="27">
                  <c:v>-1382.1798478894052</c:v>
                </c:pt>
                <c:pt idx="28">
                  <c:v>-1141.5808791930067</c:v>
                </c:pt>
                <c:pt idx="29">
                  <c:v>-901.1267492455554</c:v>
                </c:pt>
                <c:pt idx="30">
                  <c:v>-660.8338622404553</c:v>
                </c:pt>
                <c:pt idx="31">
                  <c:v>-420.71841536221837</c:v>
                </c:pt>
                <c:pt idx="32">
                  <c:v>-180.79640561149427</c:v>
                </c:pt>
                <c:pt idx="33">
                  <c:v>58.916363666667166</c:v>
                </c:pt>
                <c:pt idx="34">
                  <c:v>298.40427653537336</c:v>
                </c:pt>
                <c:pt idx="35">
                  <c:v>537.6518984843278</c:v>
                </c:pt>
                <c:pt idx="36">
                  <c:v>776.6439707001191</c:v>
                </c:pt>
                <c:pt idx="37">
                  <c:v>1015.365404575321</c:v>
                </c:pt>
                <c:pt idx="38">
                  <c:v>1253.8012764439773</c:v>
                </c:pt>
                <c:pt idx="39">
                  <c:v>1491.936822532025</c:v>
                </c:pt>
                <c:pt idx="40">
                  <c:v>1729.757434111776</c:v>
                </c:pt>
                <c:pt idx="41">
                  <c:v>1967.2486528501759</c:v>
                </c:pt>
                <c:pt idx="42">
                  <c:v>2204.3961663413684</c:v>
                </c:pt>
                <c:pt idx="43">
                  <c:v>2441.1858038144237</c:v>
                </c:pt>
                <c:pt idx="44">
                  <c:v>2677.60353200779</c:v>
                </c:pt>
                <c:pt idx="45">
                  <c:v>2913.6354512024263</c:v>
                </c:pt>
                <c:pt idx="46">
                  <c:v>3149.2677914060914</c:v>
                </c:pt>
                <c:pt idx="47">
                  <c:v>3384.486908681545</c:v>
                </c:pt>
                <c:pt idx="48">
                  <c:v>3619.279281612173</c:v>
                </c:pt>
                <c:pt idx="49">
                  <c:v>3853.6315078983826</c:v>
                </c:pt>
                <c:pt idx="50">
                  <c:v>4087.530301078972</c:v>
                </c:pt>
                <c:pt idx="51">
                  <c:v>4320.9624873717585</c:v>
                </c:pt>
                <c:pt idx="52">
                  <c:v>4553.915002627968</c:v>
                </c:pt>
                <c:pt idx="53">
                  <c:v>4786.374889395545</c:v>
                </c:pt>
                <c:pt idx="54">
                  <c:v>5018.329294086285</c:v>
                </c:pt>
                <c:pt idx="55">
                  <c:v>5249.765464242468</c:v>
                </c:pt>
                <c:pt idx="56">
                  <c:v>5480.670745898518</c:v>
                </c:pt>
                <c:pt idx="57">
                  <c:v>5711.03258103368</c:v>
                </c:pt>
                <c:pt idx="58">
                  <c:v>5940.838505111751</c:v>
                </c:pt>
                <c:pt idx="59">
                  <c:v>6170.076144704279</c:v>
                </c:pt>
                <c:pt idx="60">
                  <c:v>6398.733215193592</c:v>
                </c:pt>
                <c:pt idx="61">
                  <c:v>6626.797518552408</c:v>
                </c:pt>
                <c:pt idx="62">
                  <c:v>6854.256941196891</c:v>
                </c:pt>
                <c:pt idx="63">
                  <c:v>7081.099451910097</c:v>
                </c:pt>
                <c:pt idx="64">
                  <c:v>7307.313099832885</c:v>
                </c:pt>
                <c:pt idx="65">
                  <c:v>7532.88601251975</c:v>
                </c:pt>
                <c:pt idx="66">
                  <c:v>7757.806394056752</c:v>
                </c:pt>
                <c:pt idx="67">
                  <c:v>7982.062523239307</c:v>
                </c:pt>
                <c:pt idx="68">
                  <c:v>8205.642751807307</c:v>
                </c:pt>
                <c:pt idx="69">
                  <c:v>8428.53550273542</c:v>
                </c:pt>
                <c:pt idx="70">
                  <c:v>8650.729268576382</c:v>
                </c:pt>
                <c:pt idx="71">
                  <c:v>8872.212609855294</c:v>
                </c:pt>
                <c:pt idx="72">
                  <c:v>9092.97415351298</c:v>
                </c:pt>
                <c:pt idx="73">
                  <c:v>9313.002591396413</c:v>
                </c:pt>
                <c:pt idx="74">
                  <c:v>9532.286678794662</c:v>
                </c:pt>
                <c:pt idx="75">
                  <c:v>9750.815233018464</c:v>
                </c:pt>
                <c:pt idx="76">
                  <c:v>9968.577132021914</c:v>
                </c:pt>
                <c:pt idx="77">
                  <c:v>10185.561313064747</c:v>
                </c:pt>
                <c:pt idx="78">
                  <c:v>10401.756771413537</c:v>
                </c:pt>
                <c:pt idx="79">
                  <c:v>10617.152559080736</c:v>
                </c:pt>
                <c:pt idx="80">
                  <c:v>10831.737783599798</c:v>
                </c:pt>
                <c:pt idx="81">
                  <c:v>11045.501606835493</c:v>
                </c:pt>
                <c:pt idx="82">
                  <c:v>11258.433243827807</c:v>
                </c:pt>
                <c:pt idx="83">
                  <c:v>11470.521961668539</c:v>
                </c:pt>
                <c:pt idx="84">
                  <c:v>11681.75707840926</c:v>
                </c:pt>
                <c:pt idx="85">
                  <c:v>11892.127961999584</c:v>
                </c:pt>
                <c:pt idx="86">
                  <c:v>12101.624029254785</c:v>
                </c:pt>
                <c:pt idx="87">
                  <c:v>12310.234744851688</c:v>
                </c:pt>
                <c:pt idx="88">
                  <c:v>12517.949620351857</c:v>
                </c:pt>
                <c:pt idx="89">
                  <c:v>12724.758213251178</c:v>
                </c:pt>
                <c:pt idx="90">
                  <c:v>12930.650126055032</c:v>
                </c:pt>
                <c:pt idx="91">
                  <c:v>13135.61500537804</c:v>
                </c:pt>
                <c:pt idx="92">
                  <c:v>13339.642541067693</c:v>
                </c:pt>
                <c:pt idx="93">
                  <c:v>13542.722465351071</c:v>
                </c:pt>
                <c:pt idx="94">
                  <c:v>13744.844552003822</c:v>
                </c:pt>
                <c:pt idx="95">
                  <c:v>13945.998615540753</c:v>
                </c:pt>
                <c:pt idx="96">
                  <c:v>14146.174510427354</c:v>
                </c:pt>
                <c:pt idx="97">
                  <c:v>14345.362130311409</c:v>
                </c:pt>
                <c:pt idx="98">
                  <c:v>14543.551407274354</c:v>
                </c:pt>
                <c:pt idx="99">
                  <c:v>14740.732311101441</c:v>
                </c:pt>
                <c:pt idx="100">
                  <c:v>14936.894848570379</c:v>
                </c:pt>
              </c:numCache>
            </c:numRef>
          </c:val>
          <c:smooth val="0"/>
        </c:ser>
        <c:axId val="59089078"/>
        <c:axId val="62039655"/>
      </c:lineChart>
      <c:catAx>
        <c:axId val="5908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Temperatura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62039655"/>
        <c:crosses val="autoZero"/>
        <c:auto val="0"/>
        <c:lblOffset val="100"/>
        <c:tickLblSkip val="10"/>
        <c:tickMarkSkip val="10"/>
        <c:noMultiLvlLbl val="0"/>
      </c:catAx>
      <c:valAx>
        <c:axId val="6203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59089078"/>
        <c:crossesAt val="1"/>
        <c:crossBetween val="midCat"/>
        <c:dispUnits/>
      </c:valAx>
      <c:spPr>
        <a:solidFill>
          <a:srgbClr val="E3E3E3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K</a:t>
            </a:r>
            <a:r>
              <a:rPr lang="en-US" cap="none" sz="900" b="1" i="0" u="none" baseline="-25000">
                <a:solidFill>
                  <a:srgbClr val="0000FF"/>
                </a:solidFill>
              </a:rPr>
              <a:t>eq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in funzione di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8775"/>
          <c:w val="0.7235"/>
          <c:h val="0.6695"/>
        </c:manualLayout>
      </c:layout>
      <c:lineChart>
        <c:grouping val="standard"/>
        <c:varyColors val="0"/>
        <c:ser>
          <c:idx val="0"/>
          <c:order val="0"/>
          <c:tx>
            <c:strRef>
              <c:f>'F282'!$M$18</c:f>
              <c:strCache>
                <c:ptCount val="1"/>
                <c:pt idx="0">
                  <c:v>Keq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'F282'!$I$19:$I$119</c:f>
              <c:numCache>
                <c:ptCount val="10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</c:numCache>
            </c:numRef>
          </c:cat>
          <c:val>
            <c:numRef>
              <c:f>'F282'!$M$19:$M$119</c:f>
              <c:numCache>
                <c:ptCount val="101"/>
                <c:pt idx="0">
                  <c:v>563748.7374506692</c:v>
                </c:pt>
                <c:pt idx="1">
                  <c:v>306306.0044387571</c:v>
                </c:pt>
                <c:pt idx="2">
                  <c:v>169620.7490181182</c:v>
                </c:pt>
                <c:pt idx="3">
                  <c:v>95649.19625931812</c:v>
                </c:pt>
                <c:pt idx="4">
                  <c:v>54879.59466372165</c:v>
                </c:pt>
                <c:pt idx="5">
                  <c:v>32013.803371862923</c:v>
                </c:pt>
                <c:pt idx="6">
                  <c:v>18973.598260798757</c:v>
                </c:pt>
                <c:pt idx="7">
                  <c:v>11417.095239933406</c:v>
                </c:pt>
                <c:pt idx="8">
                  <c:v>6970.747797478867</c:v>
                </c:pt>
                <c:pt idx="9">
                  <c:v>4315.796313672404</c:v>
                </c:pt>
                <c:pt idx="10">
                  <c:v>2708.0389017839093</c:v>
                </c:pt>
                <c:pt idx="11">
                  <c:v>1721.192188936106</c:v>
                </c:pt>
                <c:pt idx="12">
                  <c:v>1107.5544460932015</c:v>
                </c:pt>
                <c:pt idx="13">
                  <c:v>721.1980850675993</c:v>
                </c:pt>
                <c:pt idx="14">
                  <c:v>475.008413068637</c:v>
                </c:pt>
                <c:pt idx="15">
                  <c:v>316.31446373230176</c:v>
                </c:pt>
                <c:pt idx="16">
                  <c:v>212.87818688205124</c:v>
                </c:pt>
                <c:pt idx="17">
                  <c:v>144.7338006543414</c:v>
                </c:pt>
                <c:pt idx="18">
                  <c:v>99.374785490695</c:v>
                </c:pt>
                <c:pt idx="19">
                  <c:v>68.88085077406053</c:v>
                </c:pt>
                <c:pt idx="20">
                  <c:v>48.18289487740787</c:v>
                </c:pt>
                <c:pt idx="21">
                  <c:v>34.00339974680775</c:v>
                </c:pt>
                <c:pt idx="22">
                  <c:v>24.202284754392767</c:v>
                </c:pt>
                <c:pt idx="23">
                  <c:v>17.368832107264264</c:v>
                </c:pt>
                <c:pt idx="24">
                  <c:v>12.564538127566351</c:v>
                </c:pt>
                <c:pt idx="25">
                  <c:v>9.159483475267983</c:v>
                </c:pt>
                <c:pt idx="26">
                  <c:v>6.727225728975383</c:v>
                </c:pt>
                <c:pt idx="27">
                  <c:v>4.9766654058320325</c:v>
                </c:pt>
                <c:pt idx="28">
                  <c:v>3.7074879487845127</c:v>
                </c:pt>
                <c:pt idx="29">
                  <c:v>2.7807738659857533</c:v>
                </c:pt>
                <c:pt idx="30">
                  <c:v>2.099452534877572</c:v>
                </c:pt>
                <c:pt idx="31">
                  <c:v>1.595198066338868</c:v>
                </c:pt>
                <c:pt idx="32">
                  <c:v>1.2195755163640074</c:v>
                </c:pt>
                <c:pt idx="33">
                  <c:v>0.9380135944683843</c:v>
                </c:pt>
                <c:pt idx="34">
                  <c:v>0.7256714336051195</c:v>
                </c:pt>
                <c:pt idx="35">
                  <c:v>0.5645840424084752</c:v>
                </c:pt>
                <c:pt idx="36">
                  <c:v>0.44167723770191103</c:v>
                </c:pt>
                <c:pt idx="37">
                  <c:v>0.34737795750200573</c:v>
                </c:pt>
                <c:pt idx="38">
                  <c:v>0.27463504291437685</c:v>
                </c:pt>
                <c:pt idx="39">
                  <c:v>0.21822488108517984</c:v>
                </c:pt>
                <c:pt idx="40">
                  <c:v>0.17425601136545935</c:v>
                </c:pt>
                <c:pt idx="41">
                  <c:v>0.13981356849900614</c:v>
                </c:pt>
                <c:pt idx="42">
                  <c:v>0.11270260547853986</c:v>
                </c:pt>
                <c:pt idx="43">
                  <c:v>0.09126174886936506</c:v>
                </c:pt>
                <c:pt idx="44">
                  <c:v>0.07422716942394204</c:v>
                </c:pt>
                <c:pt idx="45">
                  <c:v>0.06063274974936278</c:v>
                </c:pt>
                <c:pt idx="46">
                  <c:v>0.04973643451427491</c:v>
                </c:pt>
                <c:pt idx="47">
                  <c:v>0.04096562009736038</c:v>
                </c:pt>
                <c:pt idx="48">
                  <c:v>0.033876461096980254</c:v>
                </c:pt>
                <c:pt idx="49">
                  <c:v>0.028123400724661643</c:v>
                </c:pt>
                <c:pt idx="50">
                  <c:v>0.023436249042724434</c:v>
                </c:pt>
                <c:pt idx="51">
                  <c:v>0.019602860184958323</c:v>
                </c:pt>
                <c:pt idx="52">
                  <c:v>0.0164559823356484</c:v>
                </c:pt>
                <c:pt idx="53">
                  <c:v>0.013863231741251673</c:v>
                </c:pt>
                <c:pt idx="54">
                  <c:v>0.011719416020662883</c:v>
                </c:pt>
                <c:pt idx="55">
                  <c:v>0.009940631848281003</c:v>
                </c:pt>
                <c:pt idx="56">
                  <c:v>0.008459708468749012</c:v>
                </c:pt>
                <c:pt idx="57">
                  <c:v>0.0072226762321256615</c:v>
                </c:pt>
                <c:pt idx="58">
                  <c:v>0.0061860189706477164</c:v>
                </c:pt>
                <c:pt idx="59">
                  <c:v>0.005314528155192131</c:v>
                </c:pt>
                <c:pt idx="60">
                  <c:v>0.004579620841286511</c:v>
                </c:pt>
                <c:pt idx="61">
                  <c:v>0.003958016405307704</c:v>
                </c:pt>
                <c:pt idx="62">
                  <c:v>0.0034306918668243515</c:v>
                </c:pt>
                <c:pt idx="63">
                  <c:v>0.002982054302100068</c:v>
                </c:pt>
                <c:pt idx="64">
                  <c:v>0.0025992830248258506</c:v>
                </c:pt>
                <c:pt idx="65">
                  <c:v>0.002271804984310535</c:v>
                </c:pt>
                <c:pt idx="66">
                  <c:v>0.001990875053041862</c:v>
                </c:pt>
                <c:pt idx="67">
                  <c:v>0.001749239172032987</c:v>
                </c:pt>
                <c:pt idx="68">
                  <c:v>0.001540863161490721</c:v>
                </c:pt>
                <c:pt idx="69">
                  <c:v>0.001360713736235366</c:v>
                </c:pt>
                <c:pt idx="70">
                  <c:v>0.0012045811530329877</c:v>
                </c:pt>
                <c:pt idx="71">
                  <c:v>0.0010689351589110933</c:v>
                </c:pt>
                <c:pt idx="72">
                  <c:v>0.0009508076556890548</c:v>
                </c:pt>
                <c:pt idx="73">
                  <c:v>0.0008476968603050996</c:v>
                </c:pt>
                <c:pt idx="74">
                  <c:v>0.0007574888098603783</c:v>
                </c:pt>
                <c:pt idx="75">
                  <c:v>0.0006783929009714089</c:v>
                </c:pt>
                <c:pt idx="76">
                  <c:v>0.0006088888158948916</c:v>
                </c:pt>
                <c:pt idx="77">
                  <c:v>0.0005476827120970528</c:v>
                </c:pt>
                <c:pt idx="78">
                  <c:v>0.0004936709676787133</c:v>
                </c:pt>
                <c:pt idx="79">
                  <c:v>0.00044591010570850124</c:v>
                </c:pt>
                <c:pt idx="80">
                  <c:v>0.00040359178420463815</c:v>
                </c:pt>
                <c:pt idx="81">
                  <c:v>0.00036602194936582576</c:v>
                </c:pt>
                <c:pt idx="82">
                  <c:v>0.00033260341871611224</c:v>
                </c:pt>
                <c:pt idx="83">
                  <c:v>0.00030282129673349356</c:v>
                </c:pt>
                <c:pt idx="84">
                  <c:v>0.0002762307350609848</c:v>
                </c:pt>
                <c:pt idx="85">
                  <c:v>0.00025244663789151427</c:v>
                </c:pt>
                <c:pt idx="86">
                  <c:v>0.0002311349847907023</c:v>
                </c:pt>
                <c:pt idx="87">
                  <c:v>0.0002120055014114407</c:v>
                </c:pt>
                <c:pt idx="88">
                  <c:v>0.00019480545590945612</c:v>
                </c:pt>
                <c:pt idx="89">
                  <c:v>0.00017931439749680042</c:v>
                </c:pt>
                <c:pt idx="90">
                  <c:v>0.0001653396851509075</c:v>
                </c:pt>
                <c:pt idx="91">
                  <c:v>0.0001527126803741136</c:v>
                </c:pt>
                <c:pt idx="92">
                  <c:v>0.00014128549914903973</c:v>
                </c:pt>
                <c:pt idx="93">
                  <c:v>0.00013092823572413798</c:v>
                </c:pt>
                <c:pt idx="94">
                  <c:v>0.00012152658528739461</c:v>
                </c:pt>
                <c:pt idx="95">
                  <c:v>0.00011297980450680001</c:v>
                </c:pt>
                <c:pt idx="96">
                  <c:v>0.0001051989587883417</c:v>
                </c:pt>
                <c:pt idx="97">
                  <c:v>9.810541329451749E-05</c:v>
                </c:pt>
                <c:pt idx="98">
                  <c:v>9.162953157796117E-05</c:v>
                </c:pt>
                <c:pt idx="99">
                  <c:v>8.570955135961138E-05</c:v>
                </c:pt>
                <c:pt idx="100">
                  <c:v>8.029061171752745E-05</c:v>
                </c:pt>
              </c:numCache>
            </c:numRef>
          </c:val>
          <c:smooth val="0"/>
        </c:ser>
        <c:axId val="21485984"/>
        <c:axId val="59156129"/>
      </c:lineChart>
      <c:catAx>
        <c:axId val="21485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Temperatura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59156129"/>
        <c:crosses val="autoZero"/>
        <c:auto val="0"/>
        <c:lblOffset val="100"/>
        <c:tickLblSkip val="10"/>
        <c:tickMarkSkip val="10"/>
        <c:noMultiLvlLbl val="0"/>
      </c:catAx>
      <c:valAx>
        <c:axId val="5915612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K</a:t>
                </a:r>
                <a:r>
                  <a:rPr lang="en-US" cap="none" sz="800" b="1" i="0" u="none" baseline="-25000">
                    <a:solidFill>
                      <a:srgbClr val="0000FF"/>
                    </a:solidFill>
                  </a:rPr>
                  <a:t>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21485984"/>
        <c:crossesAt val="1"/>
        <c:crossBetween val="midCat"/>
        <c:dispUnits/>
        <c:majorUnit val="100"/>
        <c:minorUnit val="20"/>
      </c:valAx>
      <c:spPr>
        <a:solidFill>
          <a:srgbClr val="E3E3E3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28575</xdr:rowOff>
    </xdr:from>
    <xdr:to>
      <xdr:col>2</xdr:col>
      <xdr:colOff>133350</xdr:colOff>
      <xdr:row>3</xdr:row>
      <xdr:rowOff>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1447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2019300</xdr:colOff>
      <xdr:row>3</xdr:row>
      <xdr:rowOff>28575</xdr:rowOff>
    </xdr:from>
    <xdr:to>
      <xdr:col>2</xdr:col>
      <xdr:colOff>3276600</xdr:colOff>
      <xdr:row>14</xdr:row>
      <xdr:rowOff>47625</xdr:rowOff>
    </xdr:to>
    <xdr:pic>
      <xdr:nvPicPr>
        <xdr:cNvPr id="2" name="Immagin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657225"/>
          <a:ext cx="1257300" cy="2124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66675</xdr:rowOff>
    </xdr:from>
    <xdr:to>
      <xdr:col>10</xdr:col>
      <xdr:colOff>1085850</xdr:colOff>
      <xdr:row>23</xdr:row>
      <xdr:rowOff>133350</xdr:rowOff>
    </xdr:to>
    <xdr:graphicFrame>
      <xdr:nvGraphicFramePr>
        <xdr:cNvPr id="1" name="Chart 3"/>
        <xdr:cNvGraphicFramePr/>
      </xdr:nvGraphicFramePr>
      <xdr:xfrm>
        <a:off x="142875" y="1219200"/>
        <a:ext cx="39528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009900" y="495300"/>
          <a:ext cx="15335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8</xdr:col>
      <xdr:colOff>0</xdr:colOff>
      <xdr:row>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304800" y="495300"/>
          <a:ext cx="21145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76200</xdr:rowOff>
    </xdr:from>
    <xdr:to>
      <xdr:col>16</xdr:col>
      <xdr:colOff>219075</xdr:colOff>
      <xdr:row>1</xdr:row>
      <xdr:rowOff>114300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724025" y="76200"/>
          <a:ext cx="4981575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F272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66675</xdr:rowOff>
    </xdr:from>
    <xdr:to>
      <xdr:col>17</xdr:col>
      <xdr:colOff>323850</xdr:colOff>
      <xdr:row>1</xdr:row>
      <xdr:rowOff>104775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838325" y="66675"/>
          <a:ext cx="4981575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F281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15</xdr:row>
      <xdr:rowOff>0</xdr:rowOff>
    </xdr:from>
    <xdr:to>
      <xdr:col>31</xdr:col>
      <xdr:colOff>133350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9334500" y="2495550"/>
        <a:ext cx="40100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15</xdr:row>
      <xdr:rowOff>0</xdr:rowOff>
    </xdr:from>
    <xdr:to>
      <xdr:col>21</xdr:col>
      <xdr:colOff>238125</xdr:colOff>
      <xdr:row>31</xdr:row>
      <xdr:rowOff>9525</xdr:rowOff>
    </xdr:to>
    <xdr:graphicFrame>
      <xdr:nvGraphicFramePr>
        <xdr:cNvPr id="2" name="Chart 4"/>
        <xdr:cNvGraphicFramePr/>
      </xdr:nvGraphicFramePr>
      <xdr:xfrm>
        <a:off x="4543425" y="2495550"/>
        <a:ext cx="40481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66675</xdr:rowOff>
    </xdr:from>
    <xdr:to>
      <xdr:col>17</xdr:col>
      <xdr:colOff>333375</xdr:colOff>
      <xdr:row>1</xdr:row>
      <xdr:rowOff>104775</xdr:rowOff>
    </xdr:to>
    <xdr:sp>
      <xdr:nvSpPr>
        <xdr:cNvPr id="3" name="Testo 6"/>
        <xdr:cNvSpPr txBox="1">
          <a:spLocks noChangeArrowheads="1"/>
        </xdr:cNvSpPr>
      </xdr:nvSpPr>
      <xdr:spPr>
        <a:xfrm>
          <a:off x="1762125" y="66675"/>
          <a:ext cx="4981575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F282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2</xdr:row>
      <xdr:rowOff>76200</xdr:rowOff>
    </xdr:from>
    <xdr:to>
      <xdr:col>9</xdr:col>
      <xdr:colOff>762000</xdr:colOff>
      <xdr:row>4</xdr:row>
      <xdr:rowOff>200025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648200" y="476250"/>
          <a:ext cx="914400" cy="542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C0"/>
              </a:solidFill>
            </a:rPr>
            <a:t>Inserire qui la temperatura alla quale valutare le grandezze fisiche</a:t>
          </a:r>
        </a:p>
      </xdr:txBody>
    </xdr:sp>
    <xdr:clientData/>
  </xdr:twoCellAnchor>
  <xdr:twoCellAnchor>
    <xdr:from>
      <xdr:col>7</xdr:col>
      <xdr:colOff>542925</xdr:colOff>
      <xdr:row>3</xdr:row>
      <xdr:rowOff>200025</xdr:rowOff>
    </xdr:from>
    <xdr:to>
      <xdr:col>8</xdr:col>
      <xdr:colOff>552450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4019550" y="809625"/>
          <a:ext cx="6096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1047750</xdr:colOff>
      <xdr:row>0</xdr:row>
      <xdr:rowOff>76200</xdr:rowOff>
    </xdr:from>
    <xdr:to>
      <xdr:col>10</xdr:col>
      <xdr:colOff>828675</xdr:colOff>
      <xdr:row>1</xdr:row>
      <xdr:rowOff>76200</xdr:rowOff>
    </xdr:to>
    <xdr:sp>
      <xdr:nvSpPr>
        <xdr:cNvPr id="3" name="Testo 5"/>
        <xdr:cNvSpPr txBox="1">
          <a:spLocks noChangeArrowheads="1"/>
        </xdr:cNvSpPr>
      </xdr:nvSpPr>
      <xdr:spPr>
        <a:xfrm>
          <a:off x="1485900" y="76200"/>
          <a:ext cx="4981575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0</xdr:row>
      <xdr:rowOff>66675</xdr:rowOff>
    </xdr:from>
    <xdr:to>
      <xdr:col>10</xdr:col>
      <xdr:colOff>361950</xdr:colOff>
      <xdr:row>1</xdr:row>
      <xdr:rowOff>66675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666875" y="66675"/>
          <a:ext cx="4981575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0</xdr:row>
      <xdr:rowOff>95250</xdr:rowOff>
    </xdr:from>
    <xdr:to>
      <xdr:col>9</xdr:col>
      <xdr:colOff>228600</xdr:colOff>
      <xdr:row>1</xdr:row>
      <xdr:rowOff>95250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571625" y="95250"/>
          <a:ext cx="4981575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0</xdr:row>
      <xdr:rowOff>76200</xdr:rowOff>
    </xdr:from>
    <xdr:to>
      <xdr:col>9</xdr:col>
      <xdr:colOff>238125</xdr:colOff>
      <xdr:row>1</xdr:row>
      <xdr:rowOff>76200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514475" y="76200"/>
          <a:ext cx="4981575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85725</xdr:rowOff>
    </xdr:from>
    <xdr:to>
      <xdr:col>9</xdr:col>
      <xdr:colOff>161925</xdr:colOff>
      <xdr:row>4</xdr:row>
      <xdr:rowOff>85725</xdr:rowOff>
    </xdr:to>
    <xdr:sp>
      <xdr:nvSpPr>
        <xdr:cNvPr id="1" name="Line 8"/>
        <xdr:cNvSpPr>
          <a:spLocks/>
        </xdr:cNvSpPr>
      </xdr:nvSpPr>
      <xdr:spPr>
        <a:xfrm>
          <a:off x="4543425" y="74295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9</xdr:col>
      <xdr:colOff>142875</xdr:colOff>
      <xdr:row>15</xdr:row>
      <xdr:rowOff>85725</xdr:rowOff>
    </xdr:to>
    <xdr:sp>
      <xdr:nvSpPr>
        <xdr:cNvPr id="2" name="Line 11"/>
        <xdr:cNvSpPr>
          <a:spLocks/>
        </xdr:cNvSpPr>
      </xdr:nvSpPr>
      <xdr:spPr>
        <a:xfrm>
          <a:off x="4543425" y="258127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14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4238625" y="990600"/>
          <a:ext cx="47625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4" name="Arc 17"/>
        <xdr:cNvSpPr>
          <a:spLocks/>
        </xdr:cNvSpPr>
      </xdr:nvSpPr>
      <xdr:spPr>
        <a:xfrm>
          <a:off x="4543425" y="828675"/>
          <a:ext cx="171450" cy="161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5" name="Arc 19"/>
        <xdr:cNvSpPr>
          <a:spLocks/>
        </xdr:cNvSpPr>
      </xdr:nvSpPr>
      <xdr:spPr>
        <a:xfrm flipH="1">
          <a:off x="4238625" y="828675"/>
          <a:ext cx="304800" cy="161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15</xdr:row>
      <xdr:rowOff>0</xdr:rowOff>
    </xdr:to>
    <xdr:sp>
      <xdr:nvSpPr>
        <xdr:cNvPr id="6" name="Arc 20"/>
        <xdr:cNvSpPr>
          <a:spLocks/>
        </xdr:cNvSpPr>
      </xdr:nvSpPr>
      <xdr:spPr>
        <a:xfrm flipV="1">
          <a:off x="4543425" y="2324100"/>
          <a:ext cx="171450" cy="1714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>
      <xdr:nvSpPr>
        <xdr:cNvPr id="7" name="Arc 21"/>
        <xdr:cNvSpPr>
          <a:spLocks/>
        </xdr:cNvSpPr>
      </xdr:nvSpPr>
      <xdr:spPr>
        <a:xfrm flipH="1" flipV="1">
          <a:off x="4238625" y="2324100"/>
          <a:ext cx="304800" cy="1714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85725</xdr:rowOff>
    </xdr:from>
    <xdr:to>
      <xdr:col>8</xdr:col>
      <xdr:colOff>0</xdr:colOff>
      <xdr:row>4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4543425" y="7429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85725</xdr:rowOff>
    </xdr:to>
    <xdr:sp>
      <xdr:nvSpPr>
        <xdr:cNvPr id="9" name="Line 25"/>
        <xdr:cNvSpPr>
          <a:spLocks/>
        </xdr:cNvSpPr>
      </xdr:nvSpPr>
      <xdr:spPr>
        <a:xfrm flipV="1">
          <a:off x="4543425" y="2495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76200</xdr:rowOff>
    </xdr:from>
    <xdr:to>
      <xdr:col>7</xdr:col>
      <xdr:colOff>0</xdr:colOff>
      <xdr:row>9</xdr:row>
      <xdr:rowOff>76200</xdr:rowOff>
    </xdr:to>
    <xdr:sp>
      <xdr:nvSpPr>
        <xdr:cNvPr id="10" name="Line 26"/>
        <xdr:cNvSpPr>
          <a:spLocks/>
        </xdr:cNvSpPr>
      </xdr:nvSpPr>
      <xdr:spPr>
        <a:xfrm>
          <a:off x="3933825" y="15621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7</xdr:col>
      <xdr:colOff>0</xdr:colOff>
      <xdr:row>11</xdr:row>
      <xdr:rowOff>85725</xdr:rowOff>
    </xdr:to>
    <xdr:sp>
      <xdr:nvSpPr>
        <xdr:cNvPr id="11" name="Line 27"/>
        <xdr:cNvSpPr>
          <a:spLocks/>
        </xdr:cNvSpPr>
      </xdr:nvSpPr>
      <xdr:spPr>
        <a:xfrm>
          <a:off x="3933825" y="191452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95250</xdr:rowOff>
    </xdr:from>
    <xdr:to>
      <xdr:col>10</xdr:col>
      <xdr:colOff>238125</xdr:colOff>
      <xdr:row>12</xdr:row>
      <xdr:rowOff>95250</xdr:rowOff>
    </xdr:to>
    <xdr:sp>
      <xdr:nvSpPr>
        <xdr:cNvPr id="12" name="Line 28"/>
        <xdr:cNvSpPr>
          <a:spLocks/>
        </xdr:cNvSpPr>
      </xdr:nvSpPr>
      <xdr:spPr>
        <a:xfrm>
          <a:off x="4714875" y="209550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13</xdr:row>
      <xdr:rowOff>66675</xdr:rowOff>
    </xdr:to>
    <xdr:sp>
      <xdr:nvSpPr>
        <xdr:cNvPr id="13" name="Rectangle 29"/>
        <xdr:cNvSpPr>
          <a:spLocks/>
        </xdr:cNvSpPr>
      </xdr:nvSpPr>
      <xdr:spPr>
        <a:xfrm>
          <a:off x="4238625" y="1752600"/>
          <a:ext cx="476250" cy="4762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76200</xdr:rowOff>
    </xdr:from>
    <xdr:to>
      <xdr:col>11</xdr:col>
      <xdr:colOff>342900</xdr:colOff>
      <xdr:row>1</xdr:row>
      <xdr:rowOff>114300</xdr:rowOff>
    </xdr:to>
    <xdr:sp>
      <xdr:nvSpPr>
        <xdr:cNvPr id="14" name="Testo 32"/>
        <xdr:cNvSpPr txBox="1">
          <a:spLocks noChangeArrowheads="1"/>
        </xdr:cNvSpPr>
      </xdr:nvSpPr>
      <xdr:spPr>
        <a:xfrm>
          <a:off x="1295400" y="76200"/>
          <a:ext cx="4981575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F221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76200</xdr:rowOff>
    </xdr:from>
    <xdr:to>
      <xdr:col>9</xdr:col>
      <xdr:colOff>161925</xdr:colOff>
      <xdr:row>6</xdr:row>
      <xdr:rowOff>76200</xdr:rowOff>
    </xdr:to>
    <xdr:sp>
      <xdr:nvSpPr>
        <xdr:cNvPr id="1" name="Line 8"/>
        <xdr:cNvSpPr>
          <a:spLocks/>
        </xdr:cNvSpPr>
      </xdr:nvSpPr>
      <xdr:spPr>
        <a:xfrm>
          <a:off x="4495800" y="107632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85725</xdr:rowOff>
    </xdr:from>
    <xdr:to>
      <xdr:col>9</xdr:col>
      <xdr:colOff>142875</xdr:colOff>
      <xdr:row>17</xdr:row>
      <xdr:rowOff>85725</xdr:rowOff>
    </xdr:to>
    <xdr:sp>
      <xdr:nvSpPr>
        <xdr:cNvPr id="2" name="Line 11"/>
        <xdr:cNvSpPr>
          <a:spLocks/>
        </xdr:cNvSpPr>
      </xdr:nvSpPr>
      <xdr:spPr>
        <a:xfrm>
          <a:off x="4495800" y="292417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9</xdr:col>
      <xdr:colOff>0</xdr:colOff>
      <xdr:row>16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4191000" y="1333500"/>
          <a:ext cx="6096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4" name="Arc 17"/>
        <xdr:cNvSpPr>
          <a:spLocks/>
        </xdr:cNvSpPr>
      </xdr:nvSpPr>
      <xdr:spPr>
        <a:xfrm>
          <a:off x="4495800" y="1171575"/>
          <a:ext cx="304800" cy="161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8</xdr:row>
      <xdr:rowOff>0</xdr:rowOff>
    </xdr:to>
    <xdr:sp>
      <xdr:nvSpPr>
        <xdr:cNvPr id="5" name="Arc 19"/>
        <xdr:cNvSpPr>
          <a:spLocks/>
        </xdr:cNvSpPr>
      </xdr:nvSpPr>
      <xdr:spPr>
        <a:xfrm flipH="1">
          <a:off x="4191000" y="1171575"/>
          <a:ext cx="304800" cy="1619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6" name="Arc 20"/>
        <xdr:cNvSpPr>
          <a:spLocks/>
        </xdr:cNvSpPr>
      </xdr:nvSpPr>
      <xdr:spPr>
        <a:xfrm flipV="1">
          <a:off x="4495800" y="2667000"/>
          <a:ext cx="304800" cy="1714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7" name="Arc 21"/>
        <xdr:cNvSpPr>
          <a:spLocks/>
        </xdr:cNvSpPr>
      </xdr:nvSpPr>
      <xdr:spPr>
        <a:xfrm flipH="1" flipV="1">
          <a:off x="4191000" y="2667000"/>
          <a:ext cx="304800" cy="1714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85725</xdr:rowOff>
    </xdr:from>
    <xdr:to>
      <xdr:col>8</xdr:col>
      <xdr:colOff>0</xdr:colOff>
      <xdr:row>6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4495800" y="10858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85725</xdr:rowOff>
    </xdr:to>
    <xdr:sp>
      <xdr:nvSpPr>
        <xdr:cNvPr id="9" name="Line 25"/>
        <xdr:cNvSpPr>
          <a:spLocks/>
        </xdr:cNvSpPr>
      </xdr:nvSpPr>
      <xdr:spPr>
        <a:xfrm flipV="1">
          <a:off x="4495800" y="28384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11</xdr:row>
      <xdr:rowOff>76200</xdr:rowOff>
    </xdr:from>
    <xdr:to>
      <xdr:col>7</xdr:col>
      <xdr:colOff>0</xdr:colOff>
      <xdr:row>11</xdr:row>
      <xdr:rowOff>76200</xdr:rowOff>
    </xdr:to>
    <xdr:sp>
      <xdr:nvSpPr>
        <xdr:cNvPr id="10" name="Line 26"/>
        <xdr:cNvSpPr>
          <a:spLocks/>
        </xdr:cNvSpPr>
      </xdr:nvSpPr>
      <xdr:spPr>
        <a:xfrm>
          <a:off x="3838575" y="1905000"/>
          <a:ext cx="35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7</xdr:col>
      <xdr:colOff>0</xdr:colOff>
      <xdr:row>13</xdr:row>
      <xdr:rowOff>85725</xdr:rowOff>
    </xdr:to>
    <xdr:sp>
      <xdr:nvSpPr>
        <xdr:cNvPr id="11" name="Line 27"/>
        <xdr:cNvSpPr>
          <a:spLocks/>
        </xdr:cNvSpPr>
      </xdr:nvSpPr>
      <xdr:spPr>
        <a:xfrm>
          <a:off x="3848100" y="225742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10</xdr:col>
      <xdr:colOff>238125</xdr:colOff>
      <xdr:row>14</xdr:row>
      <xdr:rowOff>95250</xdr:rowOff>
    </xdr:to>
    <xdr:sp>
      <xdr:nvSpPr>
        <xdr:cNvPr id="12" name="Line 28"/>
        <xdr:cNvSpPr>
          <a:spLocks/>
        </xdr:cNvSpPr>
      </xdr:nvSpPr>
      <xdr:spPr>
        <a:xfrm>
          <a:off x="4800600" y="2438400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95250</xdr:rowOff>
    </xdr:from>
    <xdr:to>
      <xdr:col>9</xdr:col>
      <xdr:colOff>0</xdr:colOff>
      <xdr:row>15</xdr:row>
      <xdr:rowOff>57150</xdr:rowOff>
    </xdr:to>
    <xdr:sp>
      <xdr:nvSpPr>
        <xdr:cNvPr id="13" name="Rectangle 29"/>
        <xdr:cNvSpPr>
          <a:spLocks/>
        </xdr:cNvSpPr>
      </xdr:nvSpPr>
      <xdr:spPr>
        <a:xfrm>
          <a:off x="4191000" y="2095500"/>
          <a:ext cx="609600" cy="4667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4</xdr:row>
      <xdr:rowOff>9525</xdr:rowOff>
    </xdr:from>
    <xdr:to>
      <xdr:col>11</xdr:col>
      <xdr:colOff>533400</xdr:colOff>
      <xdr:row>7</xdr:row>
      <xdr:rowOff>76200</xdr:rowOff>
    </xdr:to>
    <xdr:sp>
      <xdr:nvSpPr>
        <xdr:cNvPr id="14" name="Rectangle 30"/>
        <xdr:cNvSpPr>
          <a:spLocks/>
        </xdr:cNvSpPr>
      </xdr:nvSpPr>
      <xdr:spPr>
        <a:xfrm>
          <a:off x="5705475" y="666750"/>
          <a:ext cx="2571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4</xdr:row>
      <xdr:rowOff>85725</xdr:rowOff>
    </xdr:from>
    <xdr:to>
      <xdr:col>11</xdr:col>
      <xdr:colOff>809625</xdr:colOff>
      <xdr:row>4</xdr:row>
      <xdr:rowOff>85725</xdr:rowOff>
    </xdr:to>
    <xdr:sp>
      <xdr:nvSpPr>
        <xdr:cNvPr id="15" name="Line 31"/>
        <xdr:cNvSpPr>
          <a:spLocks/>
        </xdr:cNvSpPr>
      </xdr:nvSpPr>
      <xdr:spPr>
        <a:xfrm flipH="1">
          <a:off x="5953125" y="7429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6</xdr:row>
      <xdr:rowOff>76200</xdr:rowOff>
    </xdr:from>
    <xdr:to>
      <xdr:col>11</xdr:col>
      <xdr:colOff>276225</xdr:colOff>
      <xdr:row>6</xdr:row>
      <xdr:rowOff>76200</xdr:rowOff>
    </xdr:to>
    <xdr:sp>
      <xdr:nvSpPr>
        <xdr:cNvPr id="16" name="Line 32"/>
        <xdr:cNvSpPr>
          <a:spLocks/>
        </xdr:cNvSpPr>
      </xdr:nvSpPr>
      <xdr:spPr>
        <a:xfrm>
          <a:off x="5419725" y="10763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76200</xdr:rowOff>
    </xdr:from>
    <xdr:to>
      <xdr:col>11</xdr:col>
      <xdr:colOff>409575</xdr:colOff>
      <xdr:row>8</xdr:row>
      <xdr:rowOff>85725</xdr:rowOff>
    </xdr:to>
    <xdr:sp>
      <xdr:nvSpPr>
        <xdr:cNvPr id="17" name="Line 36"/>
        <xdr:cNvSpPr>
          <a:spLocks/>
        </xdr:cNvSpPr>
      </xdr:nvSpPr>
      <xdr:spPr>
        <a:xfrm>
          <a:off x="5705475" y="1247775"/>
          <a:ext cx="1333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7</xdr:row>
      <xdr:rowOff>85725</xdr:rowOff>
    </xdr:from>
    <xdr:to>
      <xdr:col>11</xdr:col>
      <xdr:colOff>523875</xdr:colOff>
      <xdr:row>8</xdr:row>
      <xdr:rowOff>85725</xdr:rowOff>
    </xdr:to>
    <xdr:sp>
      <xdr:nvSpPr>
        <xdr:cNvPr id="18" name="Line 37"/>
        <xdr:cNvSpPr>
          <a:spLocks/>
        </xdr:cNvSpPr>
      </xdr:nvSpPr>
      <xdr:spPr>
        <a:xfrm flipV="1">
          <a:off x="5838825" y="1257300"/>
          <a:ext cx="1143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8</xdr:row>
      <xdr:rowOff>66675</xdr:rowOff>
    </xdr:from>
    <xdr:to>
      <xdr:col>11</xdr:col>
      <xdr:colOff>409575</xdr:colOff>
      <xdr:row>17</xdr:row>
      <xdr:rowOff>28575</xdr:rowOff>
    </xdr:to>
    <xdr:sp>
      <xdr:nvSpPr>
        <xdr:cNvPr id="19" name="Line 38"/>
        <xdr:cNvSpPr>
          <a:spLocks/>
        </xdr:cNvSpPr>
      </xdr:nvSpPr>
      <xdr:spPr>
        <a:xfrm>
          <a:off x="5838825" y="1400175"/>
          <a:ext cx="0" cy="1466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3</xdr:row>
      <xdr:rowOff>114300</xdr:rowOff>
    </xdr:from>
    <xdr:to>
      <xdr:col>11</xdr:col>
      <xdr:colOff>533400</xdr:colOff>
      <xdr:row>4</xdr:row>
      <xdr:rowOff>95250</xdr:rowOff>
    </xdr:to>
    <xdr:sp>
      <xdr:nvSpPr>
        <xdr:cNvPr id="20" name="Oval 41"/>
        <xdr:cNvSpPr>
          <a:spLocks/>
        </xdr:cNvSpPr>
      </xdr:nvSpPr>
      <xdr:spPr>
        <a:xfrm>
          <a:off x="5705475" y="600075"/>
          <a:ext cx="2571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4</xdr:row>
      <xdr:rowOff>9525</xdr:rowOff>
    </xdr:from>
    <xdr:to>
      <xdr:col>11</xdr:col>
      <xdr:colOff>533400</xdr:colOff>
      <xdr:row>7</xdr:row>
      <xdr:rowOff>76200</xdr:rowOff>
    </xdr:to>
    <xdr:sp>
      <xdr:nvSpPr>
        <xdr:cNvPr id="21" name="Rectangle 42"/>
        <xdr:cNvSpPr>
          <a:spLocks/>
        </xdr:cNvSpPr>
      </xdr:nvSpPr>
      <xdr:spPr>
        <a:xfrm>
          <a:off x="5705475" y="666750"/>
          <a:ext cx="2571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0</xdr:row>
      <xdr:rowOff>76200</xdr:rowOff>
    </xdr:from>
    <xdr:to>
      <xdr:col>12</xdr:col>
      <xdr:colOff>19050</xdr:colOff>
      <xdr:row>1</xdr:row>
      <xdr:rowOff>114300</xdr:rowOff>
    </xdr:to>
    <xdr:sp>
      <xdr:nvSpPr>
        <xdr:cNvPr id="22" name="Testo 44"/>
        <xdr:cNvSpPr txBox="1">
          <a:spLocks noChangeArrowheads="1"/>
        </xdr:cNvSpPr>
      </xdr:nvSpPr>
      <xdr:spPr>
        <a:xfrm>
          <a:off x="1295400" y="76200"/>
          <a:ext cx="4981575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F222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5</xdr:row>
      <xdr:rowOff>133350</xdr:rowOff>
    </xdr:from>
    <xdr:to>
      <xdr:col>13</xdr:col>
      <xdr:colOff>542925</xdr:colOff>
      <xdr:row>9</xdr:row>
      <xdr:rowOff>104775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800350" y="1104900"/>
          <a:ext cx="2743200" cy="695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Calcolo della composizione dei fumi per un dato  idrocarburo ed eccesso d'aria assegnato.</a:t>
          </a:r>
        </a:p>
      </xdr:txBody>
    </xdr:sp>
    <xdr:clientData/>
  </xdr:twoCellAnchor>
  <xdr:twoCellAnchor>
    <xdr:from>
      <xdr:col>1</xdr:col>
      <xdr:colOff>19050</xdr:colOff>
      <xdr:row>3</xdr:row>
      <xdr:rowOff>76200</xdr:rowOff>
    </xdr:from>
    <xdr:to>
      <xdr:col>2</xdr:col>
      <xdr:colOff>657225</xdr:colOff>
      <xdr:row>5</xdr:row>
      <xdr:rowOff>95250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09550" y="571500"/>
          <a:ext cx="1019175" cy="495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Formula bruta dell'idrocarburo</a:t>
          </a:r>
        </a:p>
      </xdr:txBody>
    </xdr:sp>
    <xdr:clientData/>
  </xdr:twoCellAnchor>
  <xdr:twoCellAnchor>
    <xdr:from>
      <xdr:col>1</xdr:col>
      <xdr:colOff>57150</xdr:colOff>
      <xdr:row>8</xdr:row>
      <xdr:rowOff>190500</xdr:rowOff>
    </xdr:from>
    <xdr:to>
      <xdr:col>2</xdr:col>
      <xdr:colOff>571500</xdr:colOff>
      <xdr:row>11</xdr:row>
      <xdr:rowOff>19050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47650" y="1685925"/>
          <a:ext cx="895350" cy="542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Riquadro risultati</a:t>
          </a:r>
        </a:p>
      </xdr:txBody>
    </xdr:sp>
    <xdr:clientData/>
  </xdr:twoCellAnchor>
  <xdr:twoCellAnchor>
    <xdr:from>
      <xdr:col>5</xdr:col>
      <xdr:colOff>104775</xdr:colOff>
      <xdr:row>0</xdr:row>
      <xdr:rowOff>76200</xdr:rowOff>
    </xdr:from>
    <xdr:to>
      <xdr:col>15</xdr:col>
      <xdr:colOff>133350</xdr:colOff>
      <xdr:row>1</xdr:row>
      <xdr:rowOff>114300</xdr:rowOff>
    </xdr:to>
    <xdr:sp>
      <xdr:nvSpPr>
        <xdr:cNvPr id="4" name="Testo 5"/>
        <xdr:cNvSpPr txBox="1">
          <a:spLocks noChangeArrowheads="1"/>
        </xdr:cNvSpPr>
      </xdr:nvSpPr>
      <xdr:spPr>
        <a:xfrm>
          <a:off x="1676400" y="76200"/>
          <a:ext cx="4981575" cy="2000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F271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0.75675</cdr:x>
      <cdr:y>0.3535</cdr:y>
    </cdr:from>
    <cdr:to>
      <cdr:x>0.8395</cdr:x>
      <cdr:y>0.626</cdr:y>
    </cdr:to>
    <cdr:sp>
      <cdr:nvSpPr>
        <cdr:cNvPr id="1" name="Line 1"/>
        <cdr:cNvSpPr>
          <a:spLocks/>
        </cdr:cNvSpPr>
      </cdr:nvSpPr>
      <cdr:spPr>
        <a:xfrm flipH="1">
          <a:off x="2990850" y="990600"/>
          <a:ext cx="32385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0.83475</cdr:x>
      <cdr:y>0.30625</cdr:y>
    </cdr:from>
    <cdr:to>
      <cdr:x>0.89025</cdr:x>
      <cdr:y>0.3805</cdr:y>
    </cdr:to>
    <cdr:sp>
      <cdr:nvSpPr>
        <cdr:cNvPr id="2" name="Testo 2"/>
        <cdr:cNvSpPr txBox="1">
          <a:spLocks noChangeArrowheads="1"/>
        </cdr:cNvSpPr>
      </cdr:nvSpPr>
      <cdr:spPr>
        <a:xfrm>
          <a:off x="3295650" y="857250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O</a:t>
          </a:r>
          <a:r>
            <a:rPr lang="en-US" cap="none" sz="800" b="0" i="0" u="none" baseline="-25000">
              <a:latin typeface="Geneva"/>
              <a:ea typeface="Geneva"/>
              <a:cs typeface="Geneva"/>
            </a:rPr>
            <a:t>2</a:t>
          </a:r>
        </a:p>
      </cdr:txBody>
    </cdr:sp>
  </cdr:relSizeAnchor>
  <cdr:relSizeAnchor xmlns:cdr="http://schemas.openxmlformats.org/drawingml/2006/chartDrawing">
    <cdr:from>
      <cdr:x>0.592</cdr:x>
      <cdr:y>0.36825</cdr:y>
    </cdr:from>
    <cdr:to>
      <cdr:x>0.70675</cdr:x>
      <cdr:y>0.541</cdr:y>
    </cdr:to>
    <cdr:sp>
      <cdr:nvSpPr>
        <cdr:cNvPr id="3" name="Line 3"/>
        <cdr:cNvSpPr>
          <a:spLocks/>
        </cdr:cNvSpPr>
      </cdr:nvSpPr>
      <cdr:spPr>
        <a:xfrm flipH="1">
          <a:off x="2333625" y="1038225"/>
          <a:ext cx="4572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0.70175</cdr:x>
      <cdr:y>0.32325</cdr:y>
    </cdr:from>
    <cdr:to>
      <cdr:x>0.77875</cdr:x>
      <cdr:y>0.3975</cdr:y>
    </cdr:to>
    <cdr:sp>
      <cdr:nvSpPr>
        <cdr:cNvPr id="4" name="Testo 4"/>
        <cdr:cNvSpPr txBox="1">
          <a:spLocks noChangeArrowheads="1"/>
        </cdr:cNvSpPr>
      </cdr:nvSpPr>
      <cdr:spPr>
        <a:xfrm>
          <a:off x="2771775" y="904875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H</a:t>
          </a:r>
          <a:r>
            <a:rPr lang="en-US" cap="none" sz="800" b="0" i="0" u="none" baseline="-25000">
              <a:latin typeface="Geneva"/>
              <a:ea typeface="Geneva"/>
              <a:cs typeface="Geneva"/>
            </a:rPr>
            <a:t>2</a:t>
          </a:r>
          <a:r>
            <a:rPr lang="en-US" cap="none" sz="1000" b="0" i="0" u="none" baseline="0">
              <a:latin typeface="Geneva"/>
              <a:ea typeface="Geneva"/>
              <a:cs typeface="Geneva"/>
            </a:rPr>
            <a:t>O</a:t>
          </a:r>
        </a:p>
      </cdr:txBody>
    </cdr:sp>
  </cdr:relSizeAnchor>
  <cdr:relSizeAnchor xmlns:cdr="http://schemas.openxmlformats.org/drawingml/2006/chartDrawing">
    <cdr:from>
      <cdr:x>0.526</cdr:x>
      <cdr:y>0.2915</cdr:y>
    </cdr:from>
    <cdr:to>
      <cdr:x>0.6025</cdr:x>
      <cdr:y>0.37375</cdr:y>
    </cdr:to>
    <cdr:sp>
      <cdr:nvSpPr>
        <cdr:cNvPr id="5" name="Line 5"/>
        <cdr:cNvSpPr>
          <a:spLocks/>
        </cdr:cNvSpPr>
      </cdr:nvSpPr>
      <cdr:spPr>
        <a:xfrm flipH="1">
          <a:off x="2076450" y="819150"/>
          <a:ext cx="3048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0.6025</cdr:x>
      <cdr:y>0.22925</cdr:y>
    </cdr:from>
    <cdr:to>
      <cdr:x>0.6795</cdr:x>
      <cdr:y>0.3035</cdr:y>
    </cdr:to>
    <cdr:sp>
      <cdr:nvSpPr>
        <cdr:cNvPr id="6" name="Testo 6"/>
        <cdr:cNvSpPr txBox="1">
          <a:spLocks noChangeArrowheads="1"/>
        </cdr:cNvSpPr>
      </cdr:nvSpPr>
      <cdr:spPr>
        <a:xfrm>
          <a:off x="2381250" y="638175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CO</a:t>
          </a:r>
          <a:r>
            <a:rPr lang="en-US" cap="none" sz="800" b="0" i="0" u="none" baseline="-25000">
              <a:latin typeface="Geneva"/>
              <a:ea typeface="Geneva"/>
              <a:cs typeface="Geneva"/>
            </a:rPr>
            <a:t>2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IMICA\FOGLIE~1\F2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HIMICA\FOGLIE~1\F28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HIMICA\FOGLIE~1\F2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HIMICA\FOGLIE~1\F2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HIMICA\FOGLIE~1\F2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HIMICA\FOGLIE~1\F2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HIMICA\FOGLIE~1\F22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HIMICA\FOGLIE~1\F27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HIMICA\FOGLIE~1\F27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HIMICA\FOGLIE~1\F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>
        <row r="1">
          <cell r="A1" t="str">
            <v>Chiudi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>
        <row r="1">
          <cell r="A1" t="str">
            <v>Chiudi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>
        <row r="1">
          <cell r="A1" t="str">
            <v>Chiudi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>
        <row r="1">
          <cell r="A1" t="str">
            <v>Chiudi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>
        <row r="1">
          <cell r="A1" t="str">
            <v>Chiudi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>
        <row r="1">
          <cell r="A1" t="str">
            <v>Chiudi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>
        <row r="1">
          <cell r="A1" t="str">
            <v>Chiudi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>
        <row r="1">
          <cell r="A1" t="str">
            <v>Chiudi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>
        <row r="1">
          <cell r="A1" t="str">
            <v>Chiudi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>
        <row r="1">
          <cell r="A1" t="str">
            <v>Chiudi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RowColHeaders="0" showZeros="0" tabSelected="1" showOutlineSymbols="0" defaultGridColor="0" colorId="9" workbookViewId="0" topLeftCell="A1">
      <pane ySplit="3" topLeftCell="J4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8.140625" style="1" customWidth="1"/>
    <col min="2" max="2" width="5.8515625" style="3" customWidth="1"/>
    <col min="3" max="3" width="52.140625" style="1" customWidth="1"/>
    <col min="4" max="4" width="26.140625" style="1" customWidth="1"/>
    <col min="5" max="16384" width="9.140625" style="1" customWidth="1"/>
  </cols>
  <sheetData>
    <row r="1" spans="2:3" s="4" customFormat="1" ht="15.75">
      <c r="B1" s="5"/>
      <c r="C1" s="9" t="s">
        <v>0</v>
      </c>
    </row>
    <row r="2" spans="2:6" s="4" customFormat="1" ht="15.75">
      <c r="B2" s="5"/>
      <c r="C2" s="9" t="s">
        <v>1</v>
      </c>
      <c r="D2" s="6"/>
      <c r="E2" s="6"/>
      <c r="F2" s="6"/>
    </row>
    <row r="3" spans="2:7" s="4" customFormat="1" ht="18">
      <c r="B3" s="5"/>
      <c r="C3" s="7" t="s">
        <v>2</v>
      </c>
      <c r="E3" s="8"/>
      <c r="F3" s="8"/>
      <c r="G3" s="8"/>
    </row>
    <row r="4" ht="8.25" customHeight="1">
      <c r="D4" s="3"/>
    </row>
    <row r="5" spans="1:4" s="2" customFormat="1" ht="15.75" customHeight="1">
      <c r="A5" s="1"/>
      <c r="B5" s="373" t="s">
        <v>3</v>
      </c>
      <c r="C5" s="374"/>
      <c r="D5" s="10"/>
    </row>
    <row r="6" spans="2:4" ht="15.75" customHeight="1">
      <c r="B6" s="373" t="s">
        <v>4</v>
      </c>
      <c r="C6" s="374"/>
      <c r="D6" s="10"/>
    </row>
    <row r="7" spans="2:4" ht="15.75" customHeight="1">
      <c r="B7" s="373" t="s">
        <v>5</v>
      </c>
      <c r="C7" s="374"/>
      <c r="D7" s="10"/>
    </row>
    <row r="8" spans="2:4" ht="15.75" customHeight="1">
      <c r="B8" s="373" t="s">
        <v>6</v>
      </c>
      <c r="C8" s="374"/>
      <c r="D8" s="10"/>
    </row>
    <row r="9" spans="2:4" ht="15.75" customHeight="1">
      <c r="B9" s="373" t="s">
        <v>7</v>
      </c>
      <c r="C9" s="374"/>
      <c r="D9" s="10"/>
    </row>
    <row r="10" spans="2:4" ht="15.75" customHeight="1">
      <c r="B10" s="373" t="s">
        <v>8</v>
      </c>
      <c r="C10" s="374"/>
      <c r="D10" s="10"/>
    </row>
    <row r="11" spans="2:4" ht="15.75" customHeight="1">
      <c r="B11" s="373" t="s">
        <v>9</v>
      </c>
      <c r="C11" s="374"/>
      <c r="D11" s="10"/>
    </row>
    <row r="12" spans="2:4" ht="15.75" customHeight="1">
      <c r="B12" s="373" t="s">
        <v>10</v>
      </c>
      <c r="C12" s="374"/>
      <c r="D12" s="10"/>
    </row>
    <row r="13" spans="2:4" ht="15.75" customHeight="1">
      <c r="B13" s="373" t="s">
        <v>11</v>
      </c>
      <c r="C13" s="374"/>
      <c r="D13" s="10"/>
    </row>
    <row r="14" spans="2:4" ht="15.75" customHeight="1">
      <c r="B14" s="373" t="s">
        <v>12</v>
      </c>
      <c r="C14" s="374"/>
      <c r="D14" s="10"/>
    </row>
    <row r="15" spans="1:3" ht="15.75" customHeight="1">
      <c r="A15" s="3"/>
      <c r="C15" s="372"/>
    </row>
    <row r="16" ht="15.75" customHeight="1">
      <c r="A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sheetProtection password="980F" sheet="1" objects="1" scenarios="1"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24"/>
  <sheetViews>
    <sheetView showGridLines="0" workbookViewId="0" topLeftCell="A1">
      <pane ySplit="2" topLeftCell="BM3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2" width="4.140625" style="327" customWidth="1"/>
    <col min="3" max="3" width="2.28125" style="327" customWidth="1"/>
    <col min="4" max="5" width="4.140625" style="327" customWidth="1"/>
    <col min="6" max="6" width="2.8515625" style="327" customWidth="1"/>
    <col min="7" max="9" width="4.140625" style="327" customWidth="1"/>
    <col min="10" max="10" width="10.00390625" style="328" customWidth="1"/>
    <col min="11" max="11" width="7.140625" style="328" customWidth="1"/>
    <col min="12" max="13" width="8.00390625" style="328" customWidth="1"/>
    <col min="14" max="14" width="8.28125" style="327" customWidth="1"/>
    <col min="15" max="15" width="7.28125" style="327" customWidth="1"/>
    <col min="16" max="40" width="7.28125" style="328" customWidth="1"/>
    <col min="41" max="43" width="9.57421875" style="328" customWidth="1"/>
    <col min="44" max="48" width="7.28125" style="328" customWidth="1"/>
    <col min="49" max="16384" width="11.421875" style="328" customWidth="1"/>
  </cols>
  <sheetData>
    <row r="1" spans="1:15" s="391" customFormat="1" ht="12.75">
      <c r="A1" s="390"/>
      <c r="B1" s="390"/>
      <c r="C1" s="390"/>
      <c r="D1" s="390"/>
      <c r="E1" s="390"/>
      <c r="F1" s="390"/>
      <c r="G1" s="390"/>
      <c r="H1" s="390"/>
      <c r="I1" s="390"/>
      <c r="N1" s="390"/>
      <c r="O1" s="390"/>
    </row>
    <row r="2" spans="1:15" s="391" customFormat="1" ht="12.75">
      <c r="A2" s="390"/>
      <c r="B2" s="390"/>
      <c r="C2" s="390"/>
      <c r="D2" s="390"/>
      <c r="E2" s="390"/>
      <c r="F2" s="390"/>
      <c r="G2" s="390"/>
      <c r="H2" s="390"/>
      <c r="I2" s="390"/>
      <c r="N2" s="390"/>
      <c r="O2" s="390"/>
    </row>
    <row r="3" spans="14:48" ht="13.5">
      <c r="N3" s="329"/>
      <c r="O3" s="330" t="s">
        <v>127</v>
      </c>
      <c r="P3" s="330" t="s">
        <v>128</v>
      </c>
      <c r="Q3" s="330" t="s">
        <v>129</v>
      </c>
      <c r="R3" s="330" t="s">
        <v>130</v>
      </c>
      <c r="S3" s="330" t="s">
        <v>131</v>
      </c>
      <c r="T3" s="330" t="s">
        <v>132</v>
      </c>
      <c r="U3" s="330" t="s">
        <v>133</v>
      </c>
      <c r="V3" s="330" t="s">
        <v>134</v>
      </c>
      <c r="W3" s="330" t="s">
        <v>135</v>
      </c>
      <c r="X3" s="330" t="s">
        <v>136</v>
      </c>
      <c r="Y3" s="330" t="s">
        <v>137</v>
      </c>
      <c r="Z3" s="330" t="s">
        <v>138</v>
      </c>
      <c r="AA3" s="330" t="s">
        <v>139</v>
      </c>
      <c r="AB3" s="330" t="s">
        <v>140</v>
      </c>
      <c r="AC3" s="330" t="s">
        <v>141</v>
      </c>
      <c r="AD3" s="330" t="s">
        <v>142</v>
      </c>
      <c r="AE3" s="330" t="s">
        <v>143</v>
      </c>
      <c r="AF3" s="330" t="s">
        <v>144</v>
      </c>
      <c r="AG3" s="330" t="s">
        <v>145</v>
      </c>
      <c r="AH3" s="330" t="s">
        <v>146</v>
      </c>
      <c r="AI3" s="330" t="s">
        <v>147</v>
      </c>
      <c r="AJ3" s="330" t="s">
        <v>148</v>
      </c>
      <c r="AK3" s="330" t="s">
        <v>149</v>
      </c>
      <c r="AL3" s="330" t="s">
        <v>150</v>
      </c>
      <c r="AM3" s="330" t="s">
        <v>151</v>
      </c>
      <c r="AN3" s="330" t="s">
        <v>152</v>
      </c>
      <c r="AO3" s="330" t="s">
        <v>153</v>
      </c>
      <c r="AP3" s="330" t="s">
        <v>154</v>
      </c>
      <c r="AQ3" s="330" t="s">
        <v>155</v>
      </c>
      <c r="AR3" s="330" t="s">
        <v>156</v>
      </c>
      <c r="AS3" s="330" t="s">
        <v>157</v>
      </c>
      <c r="AT3" s="330" t="s">
        <v>158</v>
      </c>
      <c r="AU3" s="330" t="s">
        <v>159</v>
      </c>
      <c r="AV3" s="330" t="s">
        <v>160</v>
      </c>
    </row>
    <row r="4" spans="10:48" ht="13.5" thickBot="1">
      <c r="J4" s="331" t="s">
        <v>161</v>
      </c>
      <c r="K4" s="332">
        <v>700</v>
      </c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</row>
    <row r="5" spans="1:48" ht="14.25" thickBot="1">
      <c r="A5" s="333">
        <v>1</v>
      </c>
      <c r="B5" s="334" t="s">
        <v>137</v>
      </c>
      <c r="C5" s="335" t="s">
        <v>162</v>
      </c>
      <c r="D5" s="333">
        <v>0.5</v>
      </c>
      <c r="E5" s="334" t="s">
        <v>129</v>
      </c>
      <c r="F5" s="327" t="s">
        <v>163</v>
      </c>
      <c r="G5" s="333">
        <v>1</v>
      </c>
      <c r="H5" s="334" t="s">
        <v>138</v>
      </c>
      <c r="I5" s="335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29"/>
      <c r="AT5" s="329"/>
      <c r="AU5" s="329"/>
      <c r="AV5" s="329"/>
    </row>
    <row r="6" spans="2:48" ht="13.5">
      <c r="B6" s="328"/>
      <c r="C6" s="328"/>
      <c r="E6" s="328"/>
      <c r="H6" s="328"/>
      <c r="J6" s="336" t="s">
        <v>164</v>
      </c>
      <c r="K6" s="337">
        <f>G$5*H14-D$5*E14-A$5*B14</f>
        <v>-23490</v>
      </c>
      <c r="L6" s="336" t="s">
        <v>165</v>
      </c>
      <c r="M6" s="338">
        <f>K6+O17*(K4-298)+O18*(K4^2-298^2)/2+O19*(K4^3-298^3)/3</f>
        <v>-39484.9220868</v>
      </c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</row>
    <row r="7" spans="2:48" ht="13.5">
      <c r="B7" s="328"/>
      <c r="C7" s="328"/>
      <c r="E7" s="328"/>
      <c r="H7" s="328"/>
      <c r="J7" s="339" t="s">
        <v>166</v>
      </c>
      <c r="K7" s="340">
        <f>(G$5*H15-D$5*E15-A$5*B15)</f>
        <v>-22.661499999999997</v>
      </c>
      <c r="L7" s="339" t="s">
        <v>167</v>
      </c>
      <c r="M7" s="341">
        <f>K7+O17*LN(K4/298)+O18*(O25-298)+O19*(O25^2-298^2)/2</f>
        <v>-25.429626690553444</v>
      </c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</row>
    <row r="8" spans="2:48" ht="13.5">
      <c r="B8" s="328"/>
      <c r="C8" s="328"/>
      <c r="E8" s="328"/>
      <c r="H8" s="328"/>
      <c r="J8" s="342" t="s">
        <v>168</v>
      </c>
      <c r="K8" s="343">
        <f>(G$5*H16-D$5*E16-A$5*B16)</f>
        <v>160300</v>
      </c>
      <c r="L8" s="342" t="s">
        <v>169</v>
      </c>
      <c r="M8" s="344">
        <f>M6-K4*M7</f>
        <v>-21684.183403412586</v>
      </c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</row>
    <row r="9" spans="2:48" ht="12.75">
      <c r="B9" s="328"/>
      <c r="C9" s="328"/>
      <c r="E9" s="328"/>
      <c r="H9" s="328"/>
      <c r="J9" s="327"/>
      <c r="K9" s="327"/>
      <c r="N9" s="329" t="s">
        <v>170</v>
      </c>
      <c r="O9" s="330">
        <v>6.952</v>
      </c>
      <c r="P9" s="330">
        <v>6.903</v>
      </c>
      <c r="Q9" s="330">
        <v>6.085</v>
      </c>
      <c r="R9" s="330">
        <v>6.726</v>
      </c>
      <c r="S9" s="330">
        <v>5.315</v>
      </c>
      <c r="T9" s="330">
        <v>6.461</v>
      </c>
      <c r="U9" s="330">
        <v>5.48</v>
      </c>
      <c r="V9" s="330">
        <v>7.9</v>
      </c>
      <c r="W9" s="330">
        <v>6.5846</v>
      </c>
      <c r="X9" s="330">
        <v>7.7</v>
      </c>
      <c r="Y9" s="330">
        <v>6.157</v>
      </c>
      <c r="Z9" s="330">
        <v>3.918</v>
      </c>
      <c r="AA9" s="330">
        <v>4.75</v>
      </c>
      <c r="AB9" s="330">
        <v>1.648</v>
      </c>
      <c r="AC9" s="330">
        <v>-0.966</v>
      </c>
      <c r="AD9" s="330">
        <v>0.945</v>
      </c>
      <c r="AE9" s="330">
        <v>-1.89</v>
      </c>
      <c r="AF9" s="330">
        <v>1.618</v>
      </c>
      <c r="AG9" s="330">
        <v>1.657</v>
      </c>
      <c r="AH9" s="330">
        <v>-15.939</v>
      </c>
      <c r="AI9" s="330">
        <v>0.944</v>
      </c>
      <c r="AJ9" s="330">
        <v>0.753</v>
      </c>
      <c r="AK9" s="330">
        <v>-8.65</v>
      </c>
      <c r="AL9" s="330">
        <v>-8.213</v>
      </c>
      <c r="AM9" s="330">
        <v>-8.398</v>
      </c>
      <c r="AN9" s="330">
        <v>-9.452</v>
      </c>
      <c r="AO9" s="330">
        <v>-3.789</v>
      </c>
      <c r="AP9" s="330">
        <v>-6.533</v>
      </c>
      <c r="AQ9" s="330">
        <v>-5.334</v>
      </c>
      <c r="AR9" s="330">
        <v>-5.968</v>
      </c>
      <c r="AS9" s="330">
        <v>5.447</v>
      </c>
      <c r="AT9" s="330">
        <v>4.55</v>
      </c>
      <c r="AU9" s="330">
        <v>4.75</v>
      </c>
      <c r="AV9" s="330">
        <v>-1.72</v>
      </c>
    </row>
    <row r="10" spans="2:48" ht="12.75">
      <c r="B10" s="328"/>
      <c r="C10" s="328"/>
      <c r="E10" s="328"/>
      <c r="H10" s="328"/>
      <c r="N10" s="329" t="s">
        <v>171</v>
      </c>
      <c r="O10" s="330">
        <v>-0.4576</v>
      </c>
      <c r="P10" s="330">
        <v>-0.3753</v>
      </c>
      <c r="Q10" s="330">
        <v>3.631</v>
      </c>
      <c r="R10" s="330">
        <v>0.4001</v>
      </c>
      <c r="S10" s="330">
        <v>14.285</v>
      </c>
      <c r="T10" s="330">
        <v>2.358</v>
      </c>
      <c r="U10" s="330">
        <v>13.65</v>
      </c>
      <c r="V10" s="330">
        <v>44.6</v>
      </c>
      <c r="W10" s="330">
        <v>6.1251</v>
      </c>
      <c r="X10" s="330">
        <v>0.4594</v>
      </c>
      <c r="Y10" s="330">
        <v>13.84</v>
      </c>
      <c r="Z10" s="330">
        <v>34.83</v>
      </c>
      <c r="AA10" s="330">
        <v>12</v>
      </c>
      <c r="AB10" s="330">
        <v>41.24</v>
      </c>
      <c r="AC10" s="330">
        <v>72.79</v>
      </c>
      <c r="AD10" s="330">
        <v>88.73</v>
      </c>
      <c r="AE10" s="330">
        <v>99.36</v>
      </c>
      <c r="AF10" s="330">
        <v>108.5</v>
      </c>
      <c r="AG10" s="330">
        <v>131.9</v>
      </c>
      <c r="AH10" s="330">
        <v>164.54</v>
      </c>
      <c r="AI10" s="330">
        <v>37.35</v>
      </c>
      <c r="AJ10" s="330">
        <v>56.91</v>
      </c>
      <c r="AK10" s="330">
        <v>115.78</v>
      </c>
      <c r="AL10" s="330">
        <v>133.57</v>
      </c>
      <c r="AM10" s="330">
        <v>-159.35</v>
      </c>
      <c r="AN10" s="330">
        <v>186.86</v>
      </c>
      <c r="AO10" s="330">
        <v>142.91</v>
      </c>
      <c r="AP10" s="330">
        <v>149.05</v>
      </c>
      <c r="AQ10" s="330">
        <v>142.2</v>
      </c>
      <c r="AR10" s="330">
        <v>143.54</v>
      </c>
      <c r="AS10" s="330">
        <v>9.739</v>
      </c>
      <c r="AT10" s="330">
        <v>21.86</v>
      </c>
      <c r="AU10" s="330">
        <v>50.06</v>
      </c>
      <c r="AV10" s="330">
        <v>49.25</v>
      </c>
    </row>
    <row r="11" spans="2:48" ht="12.75">
      <c r="B11" s="345">
        <v>6.157</v>
      </c>
      <c r="C11" s="346"/>
      <c r="E11" s="345">
        <v>6.085</v>
      </c>
      <c r="H11" s="345">
        <v>3.918</v>
      </c>
      <c r="I11" s="335"/>
      <c r="J11" s="335"/>
      <c r="K11" s="335"/>
      <c r="L11" s="335"/>
      <c r="N11" s="329" t="s">
        <v>172</v>
      </c>
      <c r="O11" s="330">
        <v>-0.9563</v>
      </c>
      <c r="P11" s="330">
        <v>1.93</v>
      </c>
      <c r="Q11" s="330">
        <v>-1.709</v>
      </c>
      <c r="R11" s="330">
        <v>1.283</v>
      </c>
      <c r="S11" s="330">
        <v>-8.362</v>
      </c>
      <c r="T11" s="330">
        <v>-0.7705</v>
      </c>
      <c r="U11" s="330">
        <v>-8.41</v>
      </c>
      <c r="V11" s="330">
        <v>-27.1</v>
      </c>
      <c r="W11" s="330">
        <v>2.3663</v>
      </c>
      <c r="X11" s="330">
        <v>2.521</v>
      </c>
      <c r="Y11" s="330">
        <v>-9.103</v>
      </c>
      <c r="Z11" s="330">
        <v>-26.75</v>
      </c>
      <c r="AA11" s="330">
        <v>3.03</v>
      </c>
      <c r="AB11" s="330">
        <v>-15.3</v>
      </c>
      <c r="AC11" s="330">
        <v>-37.55</v>
      </c>
      <c r="AD11" s="330">
        <v>-43.8</v>
      </c>
      <c r="AE11" s="330">
        <v>-54.95</v>
      </c>
      <c r="AF11" s="330">
        <v>-53.65</v>
      </c>
      <c r="AG11" s="330">
        <v>-68.44</v>
      </c>
      <c r="AH11" s="330">
        <v>-92.03</v>
      </c>
      <c r="AI11" s="330">
        <v>-19.92</v>
      </c>
      <c r="AJ11" s="330">
        <v>-29.1</v>
      </c>
      <c r="AK11" s="330">
        <v>-75.4</v>
      </c>
      <c r="AL11" s="330">
        <v>-82.3</v>
      </c>
      <c r="AM11" s="330">
        <v>-100.03</v>
      </c>
      <c r="AN11" s="330">
        <v>-118.69</v>
      </c>
      <c r="AO11" s="330">
        <v>-83.54</v>
      </c>
      <c r="AP11" s="330">
        <v>-88.31</v>
      </c>
      <c r="AQ11" s="330">
        <v>-79.84</v>
      </c>
      <c r="AR11" s="330">
        <v>-91.5</v>
      </c>
      <c r="AS11" s="330">
        <v>1.703</v>
      </c>
      <c r="AT11" s="330">
        <v>-2.91</v>
      </c>
      <c r="AU11" s="330">
        <v>-24.79</v>
      </c>
      <c r="AV11" s="330">
        <v>-23.89</v>
      </c>
    </row>
    <row r="12" spans="2:48" ht="12.75">
      <c r="B12" s="345">
        <v>13.84</v>
      </c>
      <c r="C12" s="346"/>
      <c r="E12" s="345">
        <v>3.631</v>
      </c>
      <c r="H12" s="345">
        <v>34.83</v>
      </c>
      <c r="I12" s="335"/>
      <c r="N12" s="329" t="s">
        <v>105</v>
      </c>
      <c r="O12" s="330">
        <v>0</v>
      </c>
      <c r="P12" s="330">
        <v>0</v>
      </c>
      <c r="Q12" s="330">
        <v>0</v>
      </c>
      <c r="R12" s="330">
        <v>-26415.7</v>
      </c>
      <c r="S12" s="330">
        <v>-94051.8</v>
      </c>
      <c r="T12" s="330">
        <v>21600</v>
      </c>
      <c r="U12" s="330">
        <v>8091</v>
      </c>
      <c r="V12" s="330">
        <v>2309</v>
      </c>
      <c r="W12" s="330">
        <v>-11040</v>
      </c>
      <c r="X12" s="330">
        <v>-57797.9</v>
      </c>
      <c r="Y12" s="330">
        <v>-70960</v>
      </c>
      <c r="Z12" s="330">
        <v>-94450</v>
      </c>
      <c r="AA12" s="330">
        <v>-17889</v>
      </c>
      <c r="AB12" s="330">
        <v>-20236</v>
      </c>
      <c r="AC12" s="330">
        <v>-24820</v>
      </c>
      <c r="AD12" s="330">
        <v>-30150</v>
      </c>
      <c r="AE12" s="330">
        <v>-32150</v>
      </c>
      <c r="AF12" s="330">
        <v>-35000</v>
      </c>
      <c r="AG12" s="330">
        <v>-39960</v>
      </c>
      <c r="AH12" s="330">
        <v>-29430</v>
      </c>
      <c r="AI12" s="330">
        <v>12496</v>
      </c>
      <c r="AJ12" s="330">
        <v>4879</v>
      </c>
      <c r="AK12" s="330">
        <v>19820</v>
      </c>
      <c r="AL12" s="330">
        <v>11950</v>
      </c>
      <c r="AM12" s="330">
        <v>7120</v>
      </c>
      <c r="AN12" s="330">
        <v>940</v>
      </c>
      <c r="AO12" s="330">
        <v>4540</v>
      </c>
      <c r="AP12" s="330">
        <v>4120</v>
      </c>
      <c r="AQ12" s="330">
        <v>4290</v>
      </c>
      <c r="AR12" s="330">
        <v>35320</v>
      </c>
      <c r="AS12" s="330">
        <v>-27700</v>
      </c>
      <c r="AT12" s="330">
        <v>-48080</v>
      </c>
      <c r="AU12" s="330">
        <v>-56240</v>
      </c>
      <c r="AV12" s="330">
        <v>-12190</v>
      </c>
    </row>
    <row r="13" spans="2:48" ht="12.75">
      <c r="B13" s="345">
        <v>-9.103</v>
      </c>
      <c r="C13" s="346"/>
      <c r="E13" s="345">
        <v>-1.709</v>
      </c>
      <c r="H13" s="345">
        <v>-26.75</v>
      </c>
      <c r="I13" s="335"/>
      <c r="N13" s="329" t="s">
        <v>173</v>
      </c>
      <c r="O13" s="330">
        <v>31.211</v>
      </c>
      <c r="P13" s="330">
        <v>45.767</v>
      </c>
      <c r="Q13" s="330">
        <v>49.003</v>
      </c>
      <c r="R13" s="330">
        <v>47.301</v>
      </c>
      <c r="S13" s="330">
        <v>51.061</v>
      </c>
      <c r="T13" s="330">
        <v>50.339</v>
      </c>
      <c r="U13" s="330">
        <v>57.47</v>
      </c>
      <c r="V13" s="330">
        <v>72.73</v>
      </c>
      <c r="W13" s="330">
        <v>46.01</v>
      </c>
      <c r="X13" s="330">
        <v>45.106</v>
      </c>
      <c r="Y13" s="330">
        <v>59.4</v>
      </c>
      <c r="Z13" s="330">
        <v>61.24</v>
      </c>
      <c r="AA13" s="330">
        <v>44.5</v>
      </c>
      <c r="AB13" s="330">
        <v>54.85</v>
      </c>
      <c r="AC13" s="330">
        <v>64.51</v>
      </c>
      <c r="AD13" s="330">
        <v>74.12</v>
      </c>
      <c r="AE13" s="330">
        <v>70.42</v>
      </c>
      <c r="AF13" s="330">
        <v>83.4</v>
      </c>
      <c r="AG13" s="330">
        <v>92.83</v>
      </c>
      <c r="AH13" s="330">
        <v>71.28</v>
      </c>
      <c r="AI13" s="330">
        <v>52.45</v>
      </c>
      <c r="AJ13" s="330">
        <v>63.8</v>
      </c>
      <c r="AK13" s="330">
        <v>64.34</v>
      </c>
      <c r="AL13" s="330">
        <v>76.42</v>
      </c>
      <c r="AM13" s="330">
        <v>85.15</v>
      </c>
      <c r="AN13" s="330">
        <v>92.87</v>
      </c>
      <c r="AO13" s="330">
        <v>84.31</v>
      </c>
      <c r="AP13" s="330">
        <v>85.49</v>
      </c>
      <c r="AQ13" s="330">
        <v>84.23</v>
      </c>
      <c r="AR13" s="330">
        <v>82.48</v>
      </c>
      <c r="AS13" s="330">
        <v>52.26</v>
      </c>
      <c r="AT13" s="330">
        <v>56.8</v>
      </c>
      <c r="AU13" s="330">
        <v>67.4</v>
      </c>
      <c r="AV13" s="330">
        <v>58.1</v>
      </c>
    </row>
    <row r="14" spans="2:48" ht="12.75">
      <c r="B14" s="345">
        <v>-70960</v>
      </c>
      <c r="C14" s="346"/>
      <c r="E14" s="345">
        <v>0</v>
      </c>
      <c r="H14" s="345">
        <v>-94450</v>
      </c>
      <c r="I14" s="335"/>
      <c r="N14" s="329" t="s">
        <v>174</v>
      </c>
      <c r="O14" s="330">
        <v>0</v>
      </c>
      <c r="P14" s="330">
        <v>0</v>
      </c>
      <c r="Q14" s="330">
        <v>0</v>
      </c>
      <c r="R14" s="330">
        <v>-32807.9</v>
      </c>
      <c r="S14" s="330">
        <v>-94259.8</v>
      </c>
      <c r="T14" s="330">
        <v>20700</v>
      </c>
      <c r="U14" s="330">
        <v>12300</v>
      </c>
      <c r="V14" s="330">
        <v>0</v>
      </c>
      <c r="W14" s="330">
        <v>-3930</v>
      </c>
      <c r="X14" s="330">
        <v>-54635.1</v>
      </c>
      <c r="Y14" s="330">
        <v>-71700</v>
      </c>
      <c r="Z14" s="330">
        <v>88600</v>
      </c>
      <c r="AA14" s="330">
        <v>-12140</v>
      </c>
      <c r="AB14" s="330">
        <v>-7860</v>
      </c>
      <c r="AC14" s="330">
        <v>-5614</v>
      </c>
      <c r="AD14" s="330">
        <v>-4100</v>
      </c>
      <c r="AE14" s="330">
        <v>-5000</v>
      </c>
      <c r="AF14" s="330">
        <v>-2000</v>
      </c>
      <c r="AG14" s="330">
        <v>-70</v>
      </c>
      <c r="AH14" s="330">
        <v>7590</v>
      </c>
      <c r="AI14" s="330">
        <v>16282</v>
      </c>
      <c r="AJ14" s="330">
        <v>14990</v>
      </c>
      <c r="AK14" s="330">
        <v>30989</v>
      </c>
      <c r="AL14" s="330">
        <v>29228</v>
      </c>
      <c r="AM14" s="330">
        <v>31208</v>
      </c>
      <c r="AN14" s="330">
        <v>32738</v>
      </c>
      <c r="AO14" s="330">
        <v>29177</v>
      </c>
      <c r="AP14" s="330">
        <v>28405</v>
      </c>
      <c r="AQ14" s="330">
        <v>28952</v>
      </c>
      <c r="AR14" s="330">
        <v>51100</v>
      </c>
      <c r="AS14" s="330">
        <v>-26300</v>
      </c>
      <c r="AT14" s="330">
        <v>-38690</v>
      </c>
      <c r="AU14" s="330">
        <v>-40300</v>
      </c>
      <c r="AV14" s="330">
        <v>-2790</v>
      </c>
    </row>
    <row r="15" spans="2:9" ht="12.75">
      <c r="B15" s="345">
        <v>59.4</v>
      </c>
      <c r="C15" s="346"/>
      <c r="E15" s="345">
        <v>49.003</v>
      </c>
      <c r="H15" s="345">
        <v>61.24</v>
      </c>
      <c r="I15" s="335"/>
    </row>
    <row r="16" spans="2:16" ht="12.75">
      <c r="B16" s="345">
        <v>-71700</v>
      </c>
      <c r="C16" s="346"/>
      <c r="E16" s="345">
        <v>0</v>
      </c>
      <c r="H16" s="345">
        <v>88600</v>
      </c>
      <c r="I16" s="335"/>
      <c r="N16" s="347"/>
      <c r="O16" s="347"/>
      <c r="P16" s="348"/>
    </row>
    <row r="17" spans="10:16" ht="12.75">
      <c r="J17" s="346"/>
      <c r="K17" s="346"/>
      <c r="L17" s="346"/>
      <c r="N17" s="349" t="s">
        <v>175</v>
      </c>
      <c r="O17" s="350">
        <f>G$5*H11-D$5*E11-A$5*B11</f>
        <v>-5.281499999999999</v>
      </c>
      <c r="P17" s="348"/>
    </row>
    <row r="18" spans="14:16" ht="12.75">
      <c r="N18" s="349" t="s">
        <v>176</v>
      </c>
      <c r="O18" s="350">
        <f>(G$5*H12-D$5*E12-A$5*B12)/1000</f>
        <v>0.019174499999999997</v>
      </c>
      <c r="P18" s="348"/>
    </row>
    <row r="19" spans="14:16" ht="12.75">
      <c r="N19" s="349" t="s">
        <v>177</v>
      </c>
      <c r="O19" s="350">
        <f>(G$5*H13-D$5*E13-A$5*B13)/100000</f>
        <v>-0.00016792499999999998</v>
      </c>
      <c r="P19" s="348"/>
    </row>
    <row r="20" spans="14:16" ht="12.75">
      <c r="N20" s="348"/>
      <c r="O20" s="348"/>
      <c r="P20" s="348"/>
    </row>
    <row r="21" spans="14:15" ht="12.75">
      <c r="N21" s="328"/>
      <c r="O21" s="328"/>
    </row>
    <row r="22" spans="14:15" ht="12.75">
      <c r="N22" s="328"/>
      <c r="O22" s="328"/>
    </row>
    <row r="23" spans="14:15" ht="12.75">
      <c r="N23" s="328"/>
      <c r="O23" s="328"/>
    </row>
    <row r="24" spans="14:15" ht="12.75">
      <c r="N24" s="328"/>
      <c r="O24" s="328"/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&amp;C&amp;F</oddHeader>
    <oddFooter>&amp;CPagina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170"/>
  <sheetViews>
    <sheetView showGridLines="0" workbookViewId="0" topLeftCell="B1">
      <pane ySplit="2" topLeftCell="BM3" activePane="bottomLeft" state="frozen"/>
      <selection pane="topLeft" activeCell="E1" sqref="A1:IV2"/>
      <selection pane="bottomLeft" activeCell="L10" sqref="L10"/>
    </sheetView>
  </sheetViews>
  <sheetFormatPr defaultColWidth="9.140625" defaultRowHeight="12.75"/>
  <cols>
    <col min="1" max="1" width="2.8515625" style="351" customWidth="1"/>
    <col min="2" max="2" width="4.140625" style="351" customWidth="1"/>
    <col min="3" max="3" width="2.421875" style="351" customWidth="1"/>
    <col min="4" max="4" width="2.8515625" style="351" customWidth="1"/>
    <col min="5" max="5" width="4.140625" style="351" customWidth="1"/>
    <col min="6" max="6" width="3.00390625" style="351" customWidth="1"/>
    <col min="7" max="7" width="2.8515625" style="351" customWidth="1"/>
    <col min="8" max="8" width="4.140625" style="351" customWidth="1"/>
    <col min="9" max="9" width="8.00390625" style="351" customWidth="1"/>
    <col min="10" max="10" width="8.28125" style="351" customWidth="1"/>
    <col min="11" max="12" width="8.00390625" style="351" customWidth="1"/>
    <col min="13" max="13" width="8.28125" style="358" customWidth="1"/>
    <col min="14" max="14" width="7.28125" style="358" customWidth="1"/>
    <col min="15" max="47" width="7.28125" style="351" customWidth="1"/>
    <col min="48" max="16384" width="11.421875" style="351" customWidth="1"/>
  </cols>
  <sheetData>
    <row r="1" spans="13:14" s="392" customFormat="1" ht="12.75">
      <c r="M1" s="393"/>
      <c r="N1" s="393"/>
    </row>
    <row r="2" spans="13:14" s="392" customFormat="1" ht="12.75">
      <c r="M2" s="393"/>
      <c r="N2" s="393"/>
    </row>
    <row r="3" spans="13:47" ht="13.5">
      <c r="M3" s="352"/>
      <c r="N3" s="353" t="s">
        <v>127</v>
      </c>
      <c r="O3" s="353" t="s">
        <v>128</v>
      </c>
      <c r="P3" s="353" t="s">
        <v>129</v>
      </c>
      <c r="Q3" s="353" t="s">
        <v>130</v>
      </c>
      <c r="R3" s="353" t="s">
        <v>131</v>
      </c>
      <c r="S3" s="353" t="s">
        <v>132</v>
      </c>
      <c r="T3" s="353" t="s">
        <v>133</v>
      </c>
      <c r="U3" s="353" t="s">
        <v>134</v>
      </c>
      <c r="V3" s="353" t="s">
        <v>135</v>
      </c>
      <c r="W3" s="353" t="s">
        <v>136</v>
      </c>
      <c r="X3" s="353" t="s">
        <v>137</v>
      </c>
      <c r="Y3" s="353" t="s">
        <v>138</v>
      </c>
      <c r="Z3" s="353" t="s">
        <v>139</v>
      </c>
      <c r="AA3" s="353" t="s">
        <v>140</v>
      </c>
      <c r="AB3" s="353" t="s">
        <v>141</v>
      </c>
      <c r="AC3" s="353" t="s">
        <v>142</v>
      </c>
      <c r="AD3" s="353" t="s">
        <v>143</v>
      </c>
      <c r="AE3" s="353" t="s">
        <v>144</v>
      </c>
      <c r="AF3" s="353" t="s">
        <v>145</v>
      </c>
      <c r="AG3" s="353" t="s">
        <v>146</v>
      </c>
      <c r="AH3" s="353" t="s">
        <v>147</v>
      </c>
      <c r="AI3" s="353" t="s">
        <v>148</v>
      </c>
      <c r="AJ3" s="353" t="s">
        <v>149</v>
      </c>
      <c r="AK3" s="353" t="s">
        <v>150</v>
      </c>
      <c r="AL3" s="353" t="s">
        <v>151</v>
      </c>
      <c r="AM3" s="353" t="s">
        <v>152</v>
      </c>
      <c r="AN3" s="353" t="s">
        <v>153</v>
      </c>
      <c r="AO3" s="353" t="s">
        <v>154</v>
      </c>
      <c r="AP3" s="353" t="s">
        <v>155</v>
      </c>
      <c r="AQ3" s="353" t="s">
        <v>156</v>
      </c>
      <c r="AR3" s="353" t="s">
        <v>157</v>
      </c>
      <c r="AS3" s="353" t="s">
        <v>158</v>
      </c>
      <c r="AT3" s="353" t="s">
        <v>159</v>
      </c>
      <c r="AU3" s="353" t="s">
        <v>160</v>
      </c>
    </row>
    <row r="4" spans="13:47" ht="13.5" thickBot="1">
      <c r="M4" s="352"/>
      <c r="N4" s="352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</row>
    <row r="5" spans="1:47" ht="14.25" thickBot="1">
      <c r="A5" s="355">
        <v>1</v>
      </c>
      <c r="B5" s="356" t="s">
        <v>128</v>
      </c>
      <c r="C5" s="357" t="s">
        <v>162</v>
      </c>
      <c r="D5" s="355">
        <v>3</v>
      </c>
      <c r="E5" s="356" t="s">
        <v>127</v>
      </c>
      <c r="F5" s="358" t="s">
        <v>163</v>
      </c>
      <c r="G5" s="355">
        <v>2</v>
      </c>
      <c r="H5" s="356" t="s">
        <v>135</v>
      </c>
      <c r="M5" s="352"/>
      <c r="N5" s="352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</row>
    <row r="6" spans="5:47" ht="12.75">
      <c r="E6" s="358"/>
      <c r="M6" s="352"/>
      <c r="N6" s="352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</row>
    <row r="7" spans="5:47" ht="12.75">
      <c r="E7" s="358"/>
      <c r="M7" s="352"/>
      <c r="N7" s="352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</row>
    <row r="8" spans="5:47" ht="12.75">
      <c r="E8" s="358"/>
      <c r="M8" s="352"/>
      <c r="N8" s="352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</row>
    <row r="9" spans="5:47" ht="12.75">
      <c r="E9" s="358"/>
      <c r="I9" s="358"/>
      <c r="J9" s="358"/>
      <c r="M9" s="352" t="s">
        <v>170</v>
      </c>
      <c r="N9" s="353">
        <v>6.952</v>
      </c>
      <c r="O9" s="359">
        <v>6.903</v>
      </c>
      <c r="P9" s="359">
        <v>6.085</v>
      </c>
      <c r="Q9" s="359">
        <v>6.726</v>
      </c>
      <c r="R9" s="359">
        <v>5.315</v>
      </c>
      <c r="S9" s="359">
        <v>6.461</v>
      </c>
      <c r="T9" s="359">
        <v>5.48</v>
      </c>
      <c r="U9" s="359">
        <v>7.9</v>
      </c>
      <c r="V9" s="359">
        <v>6.5846</v>
      </c>
      <c r="W9" s="359">
        <v>7.7</v>
      </c>
      <c r="X9" s="359">
        <v>6.157</v>
      </c>
      <c r="Y9" s="359">
        <v>3.918</v>
      </c>
      <c r="Z9" s="359">
        <v>4.75</v>
      </c>
      <c r="AA9" s="359">
        <v>1.648</v>
      </c>
      <c r="AB9" s="359">
        <v>-0.966</v>
      </c>
      <c r="AC9" s="359">
        <v>0.945</v>
      </c>
      <c r="AD9" s="359">
        <v>-1.89</v>
      </c>
      <c r="AE9" s="359">
        <v>1.618</v>
      </c>
      <c r="AF9" s="359">
        <v>1.657</v>
      </c>
      <c r="AG9" s="359">
        <v>-15.939</v>
      </c>
      <c r="AH9" s="359">
        <v>0.944</v>
      </c>
      <c r="AI9" s="359">
        <v>0.753</v>
      </c>
      <c r="AJ9" s="359">
        <v>-8.65</v>
      </c>
      <c r="AK9" s="359">
        <v>-8.213</v>
      </c>
      <c r="AL9" s="359">
        <v>-8.398</v>
      </c>
      <c r="AM9" s="359">
        <v>-9.452</v>
      </c>
      <c r="AN9" s="359">
        <v>-3.789</v>
      </c>
      <c r="AO9" s="359">
        <v>-6.533</v>
      </c>
      <c r="AP9" s="359">
        <v>-5.334</v>
      </c>
      <c r="AQ9" s="359">
        <v>-5.968</v>
      </c>
      <c r="AR9" s="359">
        <v>5.447</v>
      </c>
      <c r="AS9" s="359">
        <v>4.55</v>
      </c>
      <c r="AT9" s="359">
        <v>4.75</v>
      </c>
      <c r="AU9" s="359">
        <v>-1.72</v>
      </c>
    </row>
    <row r="10" spans="5:47" ht="12.75">
      <c r="E10" s="358"/>
      <c r="M10" s="352" t="s">
        <v>171</v>
      </c>
      <c r="N10" s="353">
        <v>-0.4576</v>
      </c>
      <c r="O10" s="359">
        <v>-0.3753</v>
      </c>
      <c r="P10" s="359">
        <v>3.631</v>
      </c>
      <c r="Q10" s="359">
        <v>0.4001</v>
      </c>
      <c r="R10" s="359">
        <v>14.285</v>
      </c>
      <c r="S10" s="359">
        <v>2.358</v>
      </c>
      <c r="T10" s="359">
        <v>13.65</v>
      </c>
      <c r="U10" s="359">
        <v>44.6</v>
      </c>
      <c r="V10" s="359">
        <v>6.1251</v>
      </c>
      <c r="W10" s="359">
        <v>0.4594</v>
      </c>
      <c r="X10" s="359">
        <v>13.84</v>
      </c>
      <c r="Y10" s="359">
        <v>34.83</v>
      </c>
      <c r="Z10" s="359">
        <v>12</v>
      </c>
      <c r="AA10" s="359">
        <v>41.24</v>
      </c>
      <c r="AB10" s="359">
        <v>72.79</v>
      </c>
      <c r="AC10" s="359">
        <v>88.73</v>
      </c>
      <c r="AD10" s="359">
        <v>99.36</v>
      </c>
      <c r="AE10" s="359">
        <v>108.5</v>
      </c>
      <c r="AF10" s="359">
        <v>131.9</v>
      </c>
      <c r="AG10" s="359">
        <v>164.54</v>
      </c>
      <c r="AH10" s="359">
        <v>37.35</v>
      </c>
      <c r="AI10" s="359">
        <v>56.91</v>
      </c>
      <c r="AJ10" s="359">
        <v>115.78</v>
      </c>
      <c r="AK10" s="359">
        <v>133.57</v>
      </c>
      <c r="AL10" s="359">
        <v>-159.35</v>
      </c>
      <c r="AM10" s="359">
        <v>186.86</v>
      </c>
      <c r="AN10" s="359">
        <v>142.91</v>
      </c>
      <c r="AO10" s="359">
        <v>149.05</v>
      </c>
      <c r="AP10" s="359">
        <v>142.2</v>
      </c>
      <c r="AQ10" s="359">
        <v>143.54</v>
      </c>
      <c r="AR10" s="359">
        <v>9.739</v>
      </c>
      <c r="AS10" s="359">
        <v>21.86</v>
      </c>
      <c r="AT10" s="359">
        <v>50.06</v>
      </c>
      <c r="AU10" s="359">
        <v>49.25</v>
      </c>
    </row>
    <row r="11" spans="2:47" ht="12.75">
      <c r="B11" s="360">
        <v>6.903</v>
      </c>
      <c r="C11" s="361"/>
      <c r="E11" s="356">
        <v>6.952</v>
      </c>
      <c r="H11" s="360">
        <v>6.5846</v>
      </c>
      <c r="I11" s="357"/>
      <c r="J11" s="362" t="s">
        <v>178</v>
      </c>
      <c r="K11" s="362">
        <f>G$5*H11-D$5*E11-A$5*B11</f>
        <v>-14.5898</v>
      </c>
      <c r="M11" s="352" t="s">
        <v>172</v>
      </c>
      <c r="N11" s="353">
        <v>-0.9563</v>
      </c>
      <c r="O11" s="359">
        <v>1.93</v>
      </c>
      <c r="P11" s="359">
        <v>-1.709</v>
      </c>
      <c r="Q11" s="359">
        <v>1.283</v>
      </c>
      <c r="R11" s="359">
        <v>-8.362</v>
      </c>
      <c r="S11" s="359">
        <v>-0.7705</v>
      </c>
      <c r="T11" s="359">
        <v>-8.41</v>
      </c>
      <c r="U11" s="359">
        <v>-27.1</v>
      </c>
      <c r="V11" s="359">
        <v>2.3663</v>
      </c>
      <c r="W11" s="359">
        <v>2.521</v>
      </c>
      <c r="X11" s="359">
        <v>-9.103</v>
      </c>
      <c r="Y11" s="359">
        <v>-26.75</v>
      </c>
      <c r="Z11" s="359">
        <v>3.03</v>
      </c>
      <c r="AA11" s="359">
        <v>-15.3</v>
      </c>
      <c r="AB11" s="359">
        <v>-37.55</v>
      </c>
      <c r="AC11" s="359">
        <v>-43.8</v>
      </c>
      <c r="AD11" s="359">
        <v>-54.95</v>
      </c>
      <c r="AE11" s="359">
        <v>-53.65</v>
      </c>
      <c r="AF11" s="359">
        <v>-68.44</v>
      </c>
      <c r="AG11" s="359">
        <v>-92.03</v>
      </c>
      <c r="AH11" s="359">
        <v>-19.92</v>
      </c>
      <c r="AI11" s="359">
        <v>-29.1</v>
      </c>
      <c r="AJ11" s="359">
        <v>-75.4</v>
      </c>
      <c r="AK11" s="359">
        <v>-82.3</v>
      </c>
      <c r="AL11" s="359">
        <v>-100.03</v>
      </c>
      <c r="AM11" s="359">
        <v>-118.69</v>
      </c>
      <c r="AN11" s="359">
        <v>-83.54</v>
      </c>
      <c r="AO11" s="359">
        <v>-88.31</v>
      </c>
      <c r="AP11" s="359">
        <v>-79.84</v>
      </c>
      <c r="AQ11" s="359">
        <v>-91.5</v>
      </c>
      <c r="AR11" s="359">
        <v>1.703</v>
      </c>
      <c r="AS11" s="359">
        <v>-2.91</v>
      </c>
      <c r="AT11" s="359">
        <v>-24.79</v>
      </c>
      <c r="AU11" s="359">
        <v>-23.89</v>
      </c>
    </row>
    <row r="12" spans="2:47" ht="12.75">
      <c r="B12" s="360">
        <v>-0.3753</v>
      </c>
      <c r="C12" s="361"/>
      <c r="E12" s="356">
        <v>-0.4576</v>
      </c>
      <c r="H12" s="360">
        <v>6.1251</v>
      </c>
      <c r="J12" s="362" t="s">
        <v>179</v>
      </c>
      <c r="K12" s="362">
        <f>(G$5*H12-D$5*E12-A$5*B12)/1000</f>
        <v>0.013998299999999998</v>
      </c>
      <c r="M12" s="352" t="s">
        <v>180</v>
      </c>
      <c r="N12" s="353">
        <v>0</v>
      </c>
      <c r="O12" s="359">
        <v>0</v>
      </c>
      <c r="P12" s="359">
        <v>0</v>
      </c>
      <c r="Q12" s="359">
        <v>-26415.7</v>
      </c>
      <c r="R12" s="359">
        <v>-94051.8</v>
      </c>
      <c r="S12" s="359">
        <v>21600</v>
      </c>
      <c r="T12" s="359">
        <v>8091</v>
      </c>
      <c r="U12" s="359">
        <v>2309</v>
      </c>
      <c r="V12" s="359">
        <v>-11040</v>
      </c>
      <c r="W12" s="359">
        <v>-57797.9</v>
      </c>
      <c r="X12" s="359">
        <v>-70960</v>
      </c>
      <c r="Y12" s="359">
        <v>-94450</v>
      </c>
      <c r="Z12" s="359">
        <v>-17889</v>
      </c>
      <c r="AA12" s="359">
        <v>-20236</v>
      </c>
      <c r="AB12" s="359">
        <v>-24820</v>
      </c>
      <c r="AC12" s="359">
        <v>-30150</v>
      </c>
      <c r="AD12" s="359">
        <v>-32150</v>
      </c>
      <c r="AE12" s="359">
        <v>-35000</v>
      </c>
      <c r="AF12" s="359">
        <v>-39960</v>
      </c>
      <c r="AG12" s="359">
        <v>-29430</v>
      </c>
      <c r="AH12" s="359">
        <v>12496</v>
      </c>
      <c r="AI12" s="359">
        <v>4879</v>
      </c>
      <c r="AJ12" s="359">
        <v>19820</v>
      </c>
      <c r="AK12" s="359">
        <v>11950</v>
      </c>
      <c r="AL12" s="359">
        <v>7120</v>
      </c>
      <c r="AM12" s="359">
        <v>940</v>
      </c>
      <c r="AN12" s="359">
        <v>4540</v>
      </c>
      <c r="AO12" s="359">
        <v>4120</v>
      </c>
      <c r="AP12" s="359">
        <v>4290</v>
      </c>
      <c r="AQ12" s="359">
        <v>35320</v>
      </c>
      <c r="AR12" s="359">
        <v>-27700</v>
      </c>
      <c r="AS12" s="359">
        <v>-48080</v>
      </c>
      <c r="AT12" s="359">
        <v>-56240</v>
      </c>
      <c r="AU12" s="359">
        <v>-12190</v>
      </c>
    </row>
    <row r="13" spans="2:47" ht="13.5">
      <c r="B13" s="360">
        <v>1.93</v>
      </c>
      <c r="C13" s="361"/>
      <c r="E13" s="356">
        <v>-0.9563</v>
      </c>
      <c r="H13" s="360">
        <v>2.3663</v>
      </c>
      <c r="J13" s="362" t="s">
        <v>181</v>
      </c>
      <c r="K13" s="362">
        <f>(G$5*H13-D$5*E13-A$5*B13)/100000</f>
        <v>5.6715E-05</v>
      </c>
      <c r="M13" s="352" t="s">
        <v>173</v>
      </c>
      <c r="N13" s="353">
        <v>31.211</v>
      </c>
      <c r="O13" s="359">
        <v>45.767</v>
      </c>
      <c r="P13" s="359">
        <v>49.003</v>
      </c>
      <c r="Q13" s="359">
        <v>47.301</v>
      </c>
      <c r="R13" s="359">
        <v>51.061</v>
      </c>
      <c r="S13" s="359">
        <v>50.339</v>
      </c>
      <c r="T13" s="359">
        <v>57.47</v>
      </c>
      <c r="U13" s="359">
        <v>72.73</v>
      </c>
      <c r="V13" s="359">
        <v>46.01</v>
      </c>
      <c r="W13" s="359">
        <v>45.106</v>
      </c>
      <c r="X13" s="359">
        <v>59.4</v>
      </c>
      <c r="Y13" s="359">
        <v>61.24</v>
      </c>
      <c r="Z13" s="359">
        <v>44.5</v>
      </c>
      <c r="AA13" s="359">
        <v>54.85</v>
      </c>
      <c r="AB13" s="359">
        <v>64.51</v>
      </c>
      <c r="AC13" s="359">
        <v>74.12</v>
      </c>
      <c r="AD13" s="359">
        <v>70.42</v>
      </c>
      <c r="AE13" s="359">
        <v>83.4</v>
      </c>
      <c r="AF13" s="359">
        <v>92.83</v>
      </c>
      <c r="AG13" s="359">
        <v>71.28</v>
      </c>
      <c r="AH13" s="359">
        <v>52.45</v>
      </c>
      <c r="AI13" s="359">
        <v>63.8</v>
      </c>
      <c r="AJ13" s="359">
        <v>64.34</v>
      </c>
      <c r="AK13" s="359">
        <v>76.42</v>
      </c>
      <c r="AL13" s="359">
        <v>85.15</v>
      </c>
      <c r="AM13" s="359">
        <v>92.87</v>
      </c>
      <c r="AN13" s="359">
        <v>84.31</v>
      </c>
      <c r="AO13" s="359">
        <v>85.49</v>
      </c>
      <c r="AP13" s="359">
        <v>84.23</v>
      </c>
      <c r="AQ13" s="359">
        <v>82.48</v>
      </c>
      <c r="AR13" s="359">
        <v>52.26</v>
      </c>
      <c r="AS13" s="359">
        <v>56.8</v>
      </c>
      <c r="AT13" s="359">
        <v>67.4</v>
      </c>
      <c r="AU13" s="359">
        <v>58.1</v>
      </c>
    </row>
    <row r="14" spans="2:47" ht="13.5">
      <c r="B14" s="360">
        <v>0</v>
      </c>
      <c r="C14" s="361"/>
      <c r="E14" s="356">
        <v>0</v>
      </c>
      <c r="H14" s="360">
        <v>-11040</v>
      </c>
      <c r="J14" s="362" t="s">
        <v>182</v>
      </c>
      <c r="K14" s="362">
        <f>G$5*H14-D$5*E14-A$5*B14</f>
        <v>-22080</v>
      </c>
      <c r="M14" s="352" t="s">
        <v>183</v>
      </c>
      <c r="N14" s="353">
        <v>0</v>
      </c>
      <c r="O14" s="359">
        <v>0</v>
      </c>
      <c r="P14" s="359">
        <v>0</v>
      </c>
      <c r="Q14" s="359">
        <v>-32807.9</v>
      </c>
      <c r="R14" s="359">
        <v>-94259.8</v>
      </c>
      <c r="S14" s="359">
        <v>20700</v>
      </c>
      <c r="T14" s="359">
        <v>12300</v>
      </c>
      <c r="U14" s="359">
        <v>0</v>
      </c>
      <c r="V14" s="359">
        <v>-3930</v>
      </c>
      <c r="W14" s="359">
        <v>-54635.1</v>
      </c>
      <c r="X14" s="359">
        <v>-71700</v>
      </c>
      <c r="Y14" s="359">
        <v>88600</v>
      </c>
      <c r="Z14" s="359">
        <v>-12140</v>
      </c>
      <c r="AA14" s="359">
        <v>-7860</v>
      </c>
      <c r="AB14" s="359">
        <v>-5614</v>
      </c>
      <c r="AC14" s="359">
        <v>-4100</v>
      </c>
      <c r="AD14" s="359">
        <v>-5000</v>
      </c>
      <c r="AE14" s="359">
        <v>-2000</v>
      </c>
      <c r="AF14" s="359">
        <v>-70</v>
      </c>
      <c r="AG14" s="359">
        <v>7590</v>
      </c>
      <c r="AH14" s="359">
        <v>16282</v>
      </c>
      <c r="AI14" s="359">
        <v>14990</v>
      </c>
      <c r="AJ14" s="359">
        <v>30989</v>
      </c>
      <c r="AK14" s="359">
        <v>29228</v>
      </c>
      <c r="AL14" s="359">
        <v>31208</v>
      </c>
      <c r="AM14" s="359">
        <v>32738</v>
      </c>
      <c r="AN14" s="359">
        <v>29177</v>
      </c>
      <c r="AO14" s="359">
        <v>28405</v>
      </c>
      <c r="AP14" s="359">
        <v>28952</v>
      </c>
      <c r="AQ14" s="359">
        <v>51100</v>
      </c>
      <c r="AR14" s="359">
        <v>-26300</v>
      </c>
      <c r="AS14" s="359">
        <v>-38690</v>
      </c>
      <c r="AT14" s="359">
        <v>-40300</v>
      </c>
      <c r="AU14" s="359">
        <v>-2790</v>
      </c>
    </row>
    <row r="15" spans="2:11" ht="13.5">
      <c r="B15" s="360">
        <v>45.767</v>
      </c>
      <c r="C15" s="361"/>
      <c r="E15" s="356">
        <v>31.211</v>
      </c>
      <c r="H15" s="360">
        <v>46.01</v>
      </c>
      <c r="J15" s="362" t="s">
        <v>184</v>
      </c>
      <c r="K15" s="362">
        <f>(G$5*H15-D$5*E15-A$5*B15)</f>
        <v>-47.38</v>
      </c>
    </row>
    <row r="16" spans="2:11" ht="13.5">
      <c r="B16" s="360">
        <v>0</v>
      </c>
      <c r="C16" s="361"/>
      <c r="E16" s="356">
        <v>0</v>
      </c>
      <c r="H16" s="360">
        <v>-3930</v>
      </c>
      <c r="J16" s="362" t="s">
        <v>185</v>
      </c>
      <c r="K16" s="362">
        <f>(G$5*H16-D$5*E16-A$5*B16)</f>
        <v>-7860</v>
      </c>
    </row>
    <row r="17" spans="8:14" ht="12.75">
      <c r="H17" s="363"/>
      <c r="I17" s="364"/>
      <c r="J17" s="364"/>
      <c r="K17" s="364"/>
      <c r="L17" s="363"/>
      <c r="M17" s="363"/>
      <c r="N17" s="351"/>
    </row>
    <row r="18" spans="8:14" ht="13.5">
      <c r="H18" s="363"/>
      <c r="I18" s="365" t="s">
        <v>186</v>
      </c>
      <c r="J18" s="366" t="s">
        <v>183</v>
      </c>
      <c r="K18" s="366" t="s">
        <v>180</v>
      </c>
      <c r="L18" s="366" t="s">
        <v>187</v>
      </c>
      <c r="M18" s="367" t="s">
        <v>188</v>
      </c>
      <c r="N18" s="351"/>
    </row>
    <row r="19" spans="8:14" ht="12.75">
      <c r="H19" s="363"/>
      <c r="I19" s="368">
        <v>300</v>
      </c>
      <c r="J19" s="368">
        <f aca="true" t="shared" si="0" ref="J19:J50">K19-I19*L19</f>
        <v>-7865.964174563251</v>
      </c>
      <c r="K19" s="368">
        <f aca="true" t="shared" si="1" ref="K19:K50">K$14+K$11*(I19-298)+K$12*(I19^2-298^2)/2+K$13*(I19^3-298^3)/3</f>
        <v>-22090.66782336</v>
      </c>
      <c r="L19" s="368">
        <f aca="true" t="shared" si="2" ref="L19:L50">K$15+K$11*LN(I19/298)+K$12*(I19-298)+K$13*(I19^2-298^2)/2</f>
        <v>-47.415678829322495</v>
      </c>
      <c r="M19" s="368">
        <f aca="true" t="shared" si="3" ref="M19:M50">EXP(-J19/1.98/I19)</f>
        <v>563748.7374506692</v>
      </c>
      <c r="N19" s="351"/>
    </row>
    <row r="20" spans="8:14" ht="12.75">
      <c r="H20" s="363"/>
      <c r="I20" s="368">
        <v>305</v>
      </c>
      <c r="J20" s="368">
        <f t="shared" si="0"/>
        <v>-7628.67006304877</v>
      </c>
      <c r="K20" s="368">
        <f t="shared" si="1"/>
        <v>-22116.494918985</v>
      </c>
      <c r="L20" s="368">
        <f t="shared" si="2"/>
        <v>-47.501065101430264</v>
      </c>
      <c r="M20" s="368">
        <f t="shared" si="3"/>
        <v>306306.0044387571</v>
      </c>
      <c r="N20" s="351"/>
    </row>
    <row r="21" spans="8:14" ht="12.75">
      <c r="H21" s="363"/>
      <c r="I21" s="368">
        <v>310</v>
      </c>
      <c r="J21" s="368">
        <f t="shared" si="0"/>
        <v>-7390.962422092936</v>
      </c>
      <c r="K21" s="368">
        <f t="shared" si="1"/>
        <v>-22141.10715336</v>
      </c>
      <c r="L21" s="368">
        <f t="shared" si="2"/>
        <v>-47.58111203634537</v>
      </c>
      <c r="M21" s="368">
        <f t="shared" si="3"/>
        <v>169620.7490181182</v>
      </c>
      <c r="N21" s="351"/>
    </row>
    <row r="22" spans="8:14" ht="12.75">
      <c r="H22" s="363"/>
      <c r="I22" s="368">
        <v>315</v>
      </c>
      <c r="J22" s="368">
        <f t="shared" si="0"/>
        <v>-7152.867632093174</v>
      </c>
      <c r="K22" s="368">
        <f t="shared" si="1"/>
        <v>-22164.490347735</v>
      </c>
      <c r="L22" s="368">
        <f t="shared" si="2"/>
        <v>-47.655945129021674</v>
      </c>
      <c r="M22" s="368">
        <f t="shared" si="3"/>
        <v>95649.19625931812</v>
      </c>
      <c r="N22" s="351"/>
    </row>
    <row r="23" spans="8:14" ht="12.75">
      <c r="H23" s="363"/>
      <c r="I23" s="368">
        <v>320</v>
      </c>
      <c r="J23" s="368">
        <f t="shared" si="0"/>
        <v>-6914.411460955063</v>
      </c>
      <c r="K23" s="368">
        <f t="shared" si="1"/>
        <v>-22186.63032336</v>
      </c>
      <c r="L23" s="368">
        <f t="shared" si="2"/>
        <v>-47.72568394501543</v>
      </c>
      <c r="M23" s="368">
        <f t="shared" si="3"/>
        <v>54879.59466372165</v>
      </c>
      <c r="N23" s="351"/>
    </row>
    <row r="24" spans="8:14" ht="12.75">
      <c r="H24" s="363"/>
      <c r="I24" s="368">
        <v>325</v>
      </c>
      <c r="J24" s="368">
        <f t="shared" si="0"/>
        <v>-6675.619092807692</v>
      </c>
      <c r="K24" s="368">
        <f t="shared" si="1"/>
        <v>-22207.512901485</v>
      </c>
      <c r="L24" s="368">
        <f t="shared" si="2"/>
        <v>-47.790442488237865</v>
      </c>
      <c r="M24" s="368">
        <f t="shared" si="3"/>
        <v>32013.803371862923</v>
      </c>
      <c r="N24" s="351"/>
    </row>
    <row r="25" spans="8:13" ht="12.75">
      <c r="H25" s="363"/>
      <c r="I25" s="368">
        <v>330</v>
      </c>
      <c r="J25" s="368">
        <f t="shared" si="0"/>
        <v>-6436.515154951559</v>
      </c>
      <c r="K25" s="368">
        <f t="shared" si="1"/>
        <v>-22227.12390336</v>
      </c>
      <c r="L25" s="368">
        <f t="shared" si="2"/>
        <v>-47.850329540631634</v>
      </c>
      <c r="M25" s="368">
        <f t="shared" si="3"/>
        <v>18973.598260798757</v>
      </c>
    </row>
    <row r="26" spans="8:13" ht="12.75">
      <c r="H26" s="363"/>
      <c r="I26" s="368">
        <v>335</v>
      </c>
      <c r="J26" s="368">
        <f t="shared" si="0"/>
        <v>-6197.123743172888</v>
      </c>
      <c r="K26" s="368">
        <f t="shared" si="1"/>
        <v>-22245.449150235</v>
      </c>
      <c r="L26" s="368">
        <f t="shared" si="2"/>
        <v>-47.90544897630481</v>
      </c>
      <c r="M26" s="368">
        <f t="shared" si="3"/>
        <v>11417.095239933406</v>
      </c>
    </row>
    <row r="27" spans="8:13" ht="12.75">
      <c r="H27" s="363"/>
      <c r="I27" s="368">
        <v>340</v>
      </c>
      <c r="J27" s="368">
        <f t="shared" si="0"/>
        <v>-5957.468445546427</v>
      </c>
      <c r="K27" s="368">
        <f t="shared" si="1"/>
        <v>-22262.47446336</v>
      </c>
      <c r="L27" s="368">
        <f t="shared" si="2"/>
        <v>-47.955900052392856</v>
      </c>
      <c r="M27" s="368">
        <f t="shared" si="3"/>
        <v>6970.747797478867</v>
      </c>
    </row>
    <row r="28" spans="8:13" ht="12.75">
      <c r="H28" s="363"/>
      <c r="I28" s="368">
        <v>345</v>
      </c>
      <c r="J28" s="368">
        <f t="shared" si="0"/>
        <v>-5717.5723648377825</v>
      </c>
      <c r="K28" s="368">
        <f t="shared" si="1"/>
        <v>-22278.185663985</v>
      </c>
      <c r="L28" s="368">
        <f t="shared" si="2"/>
        <v>-48.00177767868759</v>
      </c>
      <c r="M28" s="368">
        <f t="shared" si="3"/>
        <v>4315.796313672404</v>
      </c>
    </row>
    <row r="29" spans="8:13" ht="12.75">
      <c r="H29" s="363"/>
      <c r="I29" s="368">
        <v>350</v>
      </c>
      <c r="J29" s="368">
        <f t="shared" si="0"/>
        <v>-5477.458139606821</v>
      </c>
      <c r="K29" s="368">
        <f t="shared" si="1"/>
        <v>-22292.56857336</v>
      </c>
      <c r="L29" s="368">
        <f t="shared" si="2"/>
        <v>-48.04317266786623</v>
      </c>
      <c r="M29" s="368">
        <f t="shared" si="3"/>
        <v>2708.0389017839093</v>
      </c>
    </row>
    <row r="30" spans="8:13" ht="12.75">
      <c r="H30" s="363"/>
      <c r="I30" s="368">
        <v>355</v>
      </c>
      <c r="J30" s="368">
        <f t="shared" si="0"/>
        <v>-5237.147964104988</v>
      </c>
      <c r="K30" s="368">
        <f t="shared" si="1"/>
        <v>-22305.609012735003</v>
      </c>
      <c r="L30" s="368">
        <f t="shared" si="2"/>
        <v>-48.08017196797187</v>
      </c>
      <c r="M30" s="368">
        <f t="shared" si="3"/>
        <v>1721.192188936106</v>
      </c>
    </row>
    <row r="31" spans="8:13" ht="12.75">
      <c r="H31" s="363"/>
      <c r="I31" s="368">
        <v>360</v>
      </c>
      <c r="J31" s="368">
        <f t="shared" si="0"/>
        <v>-4996.663607051421</v>
      </c>
      <c r="K31" s="368">
        <f t="shared" si="1"/>
        <v>-22317.29280336</v>
      </c>
      <c r="L31" s="368">
        <f t="shared" si="2"/>
        <v>-48.11285887863494</v>
      </c>
      <c r="M31" s="368">
        <f t="shared" si="3"/>
        <v>1107.5544460932015</v>
      </c>
    </row>
    <row r="32" spans="8:13" ht="12.75">
      <c r="H32" s="363"/>
      <c r="I32" s="368">
        <v>365</v>
      </c>
      <c r="J32" s="368">
        <f t="shared" si="0"/>
        <v>-4756.026429365833</v>
      </c>
      <c r="K32" s="368">
        <f t="shared" si="1"/>
        <v>-22327.605766485</v>
      </c>
      <c r="L32" s="368">
        <f t="shared" si="2"/>
        <v>-48.14131325238129</v>
      </c>
      <c r="M32" s="368">
        <f t="shared" si="3"/>
        <v>721.1980850675993</v>
      </c>
    </row>
    <row r="33" spans="8:13" ht="12.75">
      <c r="H33" s="363"/>
      <c r="I33" s="368">
        <v>370</v>
      </c>
      <c r="J33" s="368">
        <f t="shared" si="0"/>
        <v>-4515.257400929466</v>
      </c>
      <c r="K33" s="368">
        <f t="shared" si="1"/>
        <v>-22336.53372336</v>
      </c>
      <c r="L33" s="368">
        <f t="shared" si="2"/>
        <v>-48.16561168224469</v>
      </c>
      <c r="M33" s="368">
        <f t="shared" si="3"/>
        <v>475.008413068637</v>
      </c>
    </row>
    <row r="34" spans="8:13" ht="12.75">
      <c r="H34" s="363"/>
      <c r="I34" s="368">
        <v>375</v>
      </c>
      <c r="J34" s="368">
        <f t="shared" si="0"/>
        <v>-4274.377116440046</v>
      </c>
      <c r="K34" s="368">
        <f t="shared" si="1"/>
        <v>-22344.062495235</v>
      </c>
      <c r="L34" s="368">
        <f t="shared" si="2"/>
        <v>-48.185827676786545</v>
      </c>
      <c r="M34" s="368">
        <f t="shared" si="3"/>
        <v>316.31446373230176</v>
      </c>
    </row>
    <row r="35" spans="8:13" ht="12.75">
      <c r="H35" s="363"/>
      <c r="I35" s="368">
        <v>380</v>
      </c>
      <c r="J35" s="368">
        <f t="shared" si="0"/>
        <v>-4033.405810420878</v>
      </c>
      <c r="K35" s="368">
        <f t="shared" si="1"/>
        <v>-22350.17790336</v>
      </c>
      <c r="L35" s="368">
        <f t="shared" si="2"/>
        <v>-48.202031823524</v>
      </c>
      <c r="M35" s="368">
        <f t="shared" si="3"/>
        <v>212.87818688205124</v>
      </c>
    </row>
    <row r="36" spans="8:13" ht="12.75">
      <c r="H36" s="363"/>
      <c r="I36" s="368">
        <v>385</v>
      </c>
      <c r="J36" s="368">
        <f t="shared" si="0"/>
        <v>-3792.3633714399875</v>
      </c>
      <c r="K36" s="368">
        <f t="shared" si="1"/>
        <v>-22354.865768985</v>
      </c>
      <c r="L36" s="368">
        <f t="shared" si="2"/>
        <v>-48.21429194167536</v>
      </c>
      <c r="M36" s="368">
        <f t="shared" si="3"/>
        <v>144.7338006543414</v>
      </c>
    </row>
    <row r="37" spans="8:13" ht="12.75">
      <c r="H37" s="363"/>
      <c r="I37" s="368">
        <v>390</v>
      </c>
      <c r="J37" s="368">
        <f t="shared" si="0"/>
        <v>-3551.269355590386</v>
      </c>
      <c r="K37" s="368">
        <f t="shared" si="1"/>
        <v>-22358.11191336</v>
      </c>
      <c r="L37" s="368">
        <f t="shared" si="2"/>
        <v>-48.22267322505029</v>
      </c>
      <c r="M37" s="368">
        <f t="shared" si="3"/>
        <v>99.374785490695</v>
      </c>
    </row>
    <row r="38" spans="8:13" ht="12.75">
      <c r="H38" s="363"/>
      <c r="I38" s="368">
        <v>395</v>
      </c>
      <c r="J38" s="368">
        <f t="shared" si="0"/>
        <v>-3310.142999279051</v>
      </c>
      <c r="K38" s="368">
        <f t="shared" si="1"/>
        <v>-22359.902157735</v>
      </c>
      <c r="L38" s="368">
        <f t="shared" si="2"/>
        <v>-48.22723837583784</v>
      </c>
      <c r="M38" s="368">
        <f t="shared" si="3"/>
        <v>68.88085077406053</v>
      </c>
    </row>
    <row r="39" spans="8:13" ht="12.75">
      <c r="H39" s="363"/>
      <c r="I39" s="368">
        <v>400</v>
      </c>
      <c r="J39" s="368">
        <f t="shared" si="0"/>
        <v>-3069.0032313682023</v>
      </c>
      <c r="K39" s="368">
        <f t="shared" si="1"/>
        <v>-22360.222323359998</v>
      </c>
      <c r="L39" s="368">
        <f t="shared" si="2"/>
        <v>-48.22804772997949</v>
      </c>
      <c r="M39" s="368">
        <f t="shared" si="3"/>
        <v>48.18289487740787</v>
      </c>
    </row>
    <row r="40" spans="8:13" ht="12.75">
      <c r="H40" s="363"/>
      <c r="I40" s="368">
        <v>405</v>
      </c>
      <c r="J40" s="368">
        <f t="shared" si="0"/>
        <v>-2827.8686847094505</v>
      </c>
      <c r="K40" s="368">
        <f t="shared" si="1"/>
        <v>-22359.058231485</v>
      </c>
      <c r="L40" s="368">
        <f t="shared" si="2"/>
        <v>-48.22515937475444</v>
      </c>
      <c r="M40" s="368">
        <f t="shared" si="3"/>
        <v>34.00339974680775</v>
      </c>
    </row>
    <row r="41" spans="8:13" ht="12.75">
      <c r="H41" s="363"/>
      <c r="I41" s="368">
        <v>410</v>
      </c>
      <c r="J41" s="368">
        <f t="shared" si="0"/>
        <v>-2586.7577071082997</v>
      </c>
      <c r="K41" s="368">
        <f t="shared" si="1"/>
        <v>-22356.39570336</v>
      </c>
      <c r="L41" s="368">
        <f t="shared" si="2"/>
        <v>-48.21862925915049</v>
      </c>
      <c r="M41" s="368">
        <f t="shared" si="3"/>
        <v>24.202284754392767</v>
      </c>
    </row>
    <row r="42" spans="8:13" ht="12.75">
      <c r="H42" s="363"/>
      <c r="I42" s="368">
        <v>415</v>
      </c>
      <c r="J42" s="368">
        <f t="shared" si="0"/>
        <v>-2345.688371753702</v>
      </c>
      <c r="K42" s="368">
        <f t="shared" si="1"/>
        <v>-22352.220560235</v>
      </c>
      <c r="L42" s="368">
        <f t="shared" si="2"/>
        <v>-48.2085112975453</v>
      </c>
      <c r="M42" s="368">
        <f t="shared" si="3"/>
        <v>17.368832107264264</v>
      </c>
    </row>
    <row r="43" spans="8:13" ht="12.75">
      <c r="H43" s="363"/>
      <c r="I43" s="368">
        <v>420</v>
      </c>
      <c r="J43" s="368">
        <f t="shared" si="0"/>
        <v>-2104.67848714496</v>
      </c>
      <c r="K43" s="368">
        <f t="shared" si="1"/>
        <v>-22346.518623360003</v>
      </c>
      <c r="L43" s="368">
        <f t="shared" si="2"/>
        <v>-48.19485746717867</v>
      </c>
      <c r="M43" s="368">
        <f t="shared" si="3"/>
        <v>12.564538127566351</v>
      </c>
    </row>
    <row r="44" spans="8:13" ht="12.75">
      <c r="H44" s="363"/>
      <c r="I44" s="368">
        <v>425</v>
      </c>
      <c r="J44" s="368">
        <f t="shared" si="0"/>
        <v>-1863.74560654581</v>
      </c>
      <c r="K44" s="368">
        <f t="shared" si="1"/>
        <v>-22339.275713985</v>
      </c>
      <c r="L44" s="368">
        <f t="shared" si="2"/>
        <v>-48.177717899856916</v>
      </c>
      <c r="M44" s="368">
        <f t="shared" si="3"/>
        <v>9.159483475267983</v>
      </c>
    </row>
    <row r="45" spans="8:13" ht="12.75">
      <c r="H45" s="363"/>
      <c r="I45" s="368">
        <v>430</v>
      </c>
      <c r="J45" s="368">
        <f t="shared" si="0"/>
        <v>-1622.9070369936126</v>
      </c>
      <c r="K45" s="368">
        <f t="shared" si="1"/>
        <v>-22330.477653359998</v>
      </c>
      <c r="L45" s="368">
        <f t="shared" si="2"/>
        <v>-48.15714096829392</v>
      </c>
      <c r="M45" s="368">
        <f t="shared" si="3"/>
        <v>6.727225728975383</v>
      </c>
    </row>
    <row r="46" spans="8:13" ht="12.75">
      <c r="H46" s="363"/>
      <c r="I46" s="368">
        <v>435</v>
      </c>
      <c r="J46" s="368">
        <f t="shared" si="0"/>
        <v>-1382.1798478894052</v>
      </c>
      <c r="K46" s="368">
        <f t="shared" si="1"/>
        <v>-22320.110262734997</v>
      </c>
      <c r="L46" s="368">
        <f t="shared" si="2"/>
        <v>-48.13317336746113</v>
      </c>
      <c r="M46" s="368">
        <f t="shared" si="3"/>
        <v>4.9766654058320325</v>
      </c>
    </row>
    <row r="47" spans="8:13" ht="12.75">
      <c r="H47" s="363"/>
      <c r="I47" s="368">
        <v>440</v>
      </c>
      <c r="J47" s="368">
        <f t="shared" si="0"/>
        <v>-1141.5808791930067</v>
      </c>
      <c r="K47" s="368">
        <f t="shared" si="1"/>
        <v>-22308.159363360002</v>
      </c>
      <c r="L47" s="368">
        <f t="shared" si="2"/>
        <v>-48.10586019128863</v>
      </c>
      <c r="M47" s="368">
        <f t="shared" si="3"/>
        <v>3.7074879487845127</v>
      </c>
    </row>
    <row r="48" spans="8:13" ht="12.75">
      <c r="H48" s="363"/>
      <c r="I48" s="368">
        <v>445</v>
      </c>
      <c r="J48" s="368">
        <f t="shared" si="0"/>
        <v>-901.1267492455554</v>
      </c>
      <c r="K48" s="368">
        <f t="shared" si="1"/>
        <v>-22294.610776485002</v>
      </c>
      <c r="L48" s="368">
        <f t="shared" si="2"/>
        <v>-48.075245005032464</v>
      </c>
      <c r="M48" s="368">
        <f t="shared" si="3"/>
        <v>2.7807738659857533</v>
      </c>
    </row>
    <row r="49" spans="8:13" ht="12.75">
      <c r="H49" s="363"/>
      <c r="I49" s="368">
        <v>450</v>
      </c>
      <c r="J49" s="368">
        <f t="shared" si="0"/>
        <v>-660.8338622404553</v>
      </c>
      <c r="K49" s="368">
        <f t="shared" si="1"/>
        <v>-22279.45032336</v>
      </c>
      <c r="L49" s="368">
        <f t="shared" si="2"/>
        <v>-48.04136991359899</v>
      </c>
      <c r="M49" s="368">
        <f t="shared" si="3"/>
        <v>2.099452534877572</v>
      </c>
    </row>
    <row r="50" spans="8:13" ht="12.75">
      <c r="H50" s="363"/>
      <c r="I50" s="368">
        <v>455</v>
      </c>
      <c r="J50" s="368">
        <f t="shared" si="0"/>
        <v>-420.71841536221837</v>
      </c>
      <c r="K50" s="368">
        <f t="shared" si="1"/>
        <v>-22262.663825235002</v>
      </c>
      <c r="L50" s="368">
        <f t="shared" si="2"/>
        <v>-48.00427562609403</v>
      </c>
      <c r="M50" s="368">
        <f t="shared" si="3"/>
        <v>1.595198066338868</v>
      </c>
    </row>
    <row r="51" spans="8:13" ht="12.75">
      <c r="H51" s="363"/>
      <c r="I51" s="368">
        <v>460</v>
      </c>
      <c r="J51" s="368">
        <f aca="true" t="shared" si="4" ref="J51:J82">K51-I51*L51</f>
        <v>-180.79640561149427</v>
      </c>
      <c r="K51" s="368">
        <f aca="true" t="shared" si="5" ref="K51:K82">K$14+K$11*(I51-298)+K$12*(I51^2-298^2)/2+K$13*(I51^3-298^3)/3</f>
        <v>-22244.23710336</v>
      </c>
      <c r="L51" s="368">
        <f aca="true" t="shared" si="6" ref="L51:L82">K$15+K$11*LN(I51/298)+K$12*(I51-298)+K$13*(I51^2-298^2)/2</f>
        <v>-47.964001516844576</v>
      </c>
      <c r="M51" s="368">
        <f aca="true" t="shared" si="7" ref="M51:M82">EXP(-J51/1.98/I51)</f>
        <v>1.2195755163640074</v>
      </c>
    </row>
    <row r="52" spans="8:13" ht="12.75">
      <c r="H52" s="363"/>
      <c r="I52" s="368">
        <v>465</v>
      </c>
      <c r="J52" s="368">
        <f t="shared" si="4"/>
        <v>58.916363666667166</v>
      </c>
      <c r="K52" s="368">
        <f t="shared" si="5"/>
        <v>-22224.155978985</v>
      </c>
      <c r="L52" s="368">
        <f t="shared" si="6"/>
        <v>-47.920585683121864</v>
      </c>
      <c r="M52" s="368">
        <f t="shared" si="7"/>
        <v>0.9380135944683843</v>
      </c>
    </row>
    <row r="53" spans="8:13" ht="12.75">
      <c r="H53" s="363"/>
      <c r="I53" s="368">
        <v>470</v>
      </c>
      <c r="J53" s="368">
        <f t="shared" si="4"/>
        <v>298.40427653537336</v>
      </c>
      <c r="K53" s="368">
        <f t="shared" si="5"/>
        <v>-22202.40627336</v>
      </c>
      <c r="L53" s="368">
        <f t="shared" si="6"/>
        <v>-47.87406499977739</v>
      </c>
      <c r="M53" s="368">
        <f t="shared" si="7"/>
        <v>0.7256714336051195</v>
      </c>
    </row>
    <row r="54" spans="8:13" ht="12.75">
      <c r="H54" s="363"/>
      <c r="I54" s="368">
        <v>475</v>
      </c>
      <c r="J54" s="368">
        <f t="shared" si="4"/>
        <v>537.6518984843278</v>
      </c>
      <c r="K54" s="368">
        <f t="shared" si="5"/>
        <v>-22178.973807735</v>
      </c>
      <c r="L54" s="368">
        <f t="shared" si="6"/>
        <v>-47.82447517098806</v>
      </c>
      <c r="M54" s="368">
        <f t="shared" si="7"/>
        <v>0.5645840424084752</v>
      </c>
    </row>
    <row r="55" spans="8:13" ht="12.75">
      <c r="H55" s="363"/>
      <c r="I55" s="368">
        <v>480</v>
      </c>
      <c r="J55" s="368">
        <f t="shared" si="4"/>
        <v>776.6439707001191</v>
      </c>
      <c r="K55" s="368">
        <f t="shared" si="5"/>
        <v>-22153.844403360003</v>
      </c>
      <c r="L55" s="368">
        <f t="shared" si="6"/>
        <v>-47.771850779291924</v>
      </c>
      <c r="M55" s="368">
        <f t="shared" si="7"/>
        <v>0.44167723770191103</v>
      </c>
    </row>
    <row r="56" spans="8:13" ht="12.75">
      <c r="H56" s="363"/>
      <c r="I56" s="368">
        <v>485</v>
      </c>
      <c r="J56" s="368">
        <f t="shared" si="4"/>
        <v>1015.365404575321</v>
      </c>
      <c r="K56" s="368">
        <f t="shared" si="5"/>
        <v>-22127.003881485</v>
      </c>
      <c r="L56" s="368">
        <f t="shared" si="6"/>
        <v>-47.71622533208314</v>
      </c>
      <c r="M56" s="368">
        <f t="shared" si="7"/>
        <v>0.34737795750200573</v>
      </c>
    </row>
    <row r="57" spans="8:13" ht="12.75">
      <c r="H57" s="363"/>
      <c r="I57" s="368">
        <v>490</v>
      </c>
      <c r="J57" s="368">
        <f t="shared" si="4"/>
        <v>1253.8012764439773</v>
      </c>
      <c r="K57" s="368">
        <f t="shared" si="5"/>
        <v>-22098.43806336</v>
      </c>
      <c r="L57" s="368">
        <f t="shared" si="6"/>
        <v>-47.657631305722404</v>
      </c>
      <c r="M57" s="368">
        <f t="shared" si="7"/>
        <v>0.27463504291437685</v>
      </c>
    </row>
    <row r="58" spans="8:13" ht="12.75">
      <c r="H58" s="363"/>
      <c r="I58" s="368">
        <v>495</v>
      </c>
      <c r="J58" s="368">
        <f t="shared" si="4"/>
        <v>1491.936822532025</v>
      </c>
      <c r="K58" s="368">
        <f t="shared" si="5"/>
        <v>-22068.132770235003</v>
      </c>
      <c r="L58" s="368">
        <f t="shared" si="6"/>
        <v>-47.59610018740813</v>
      </c>
      <c r="M58" s="368">
        <f t="shared" si="7"/>
        <v>0.21822488108517984</v>
      </c>
    </row>
    <row r="59" spans="8:13" ht="12.75">
      <c r="H59" s="363"/>
      <c r="I59" s="368">
        <v>500</v>
      </c>
      <c r="J59" s="368">
        <f t="shared" si="4"/>
        <v>1729.757434111776</v>
      </c>
      <c r="K59" s="368">
        <f t="shared" si="5"/>
        <v>-22036.07382336</v>
      </c>
      <c r="L59" s="368">
        <f t="shared" si="6"/>
        <v>-47.53166251494355</v>
      </c>
      <c r="M59" s="368">
        <f t="shared" si="7"/>
        <v>0.17425601136545935</v>
      </c>
    </row>
    <row r="60" spans="8:13" ht="12.75">
      <c r="H60" s="363"/>
      <c r="I60" s="368">
        <v>505</v>
      </c>
      <c r="J60" s="368">
        <f t="shared" si="4"/>
        <v>1967.2486528501759</v>
      </c>
      <c r="K60" s="368">
        <f t="shared" si="5"/>
        <v>-22002.247043984997</v>
      </c>
      <c r="L60" s="368">
        <f t="shared" si="6"/>
        <v>-47.46434791452509</v>
      </c>
      <c r="M60" s="368">
        <f t="shared" si="7"/>
        <v>0.13981356849900614</v>
      </c>
    </row>
    <row r="61" spans="8:13" ht="12.75">
      <c r="H61" s="363"/>
      <c r="I61" s="368">
        <v>510</v>
      </c>
      <c r="J61" s="368">
        <f t="shared" si="4"/>
        <v>2204.3961663413684</v>
      </c>
      <c r="K61" s="368">
        <f t="shared" si="5"/>
        <v>-21966.63825336</v>
      </c>
      <c r="L61" s="368">
        <f t="shared" si="6"/>
        <v>-47.39418513666935</v>
      </c>
      <c r="M61" s="368">
        <f t="shared" si="7"/>
        <v>0.11270260547853986</v>
      </c>
    </row>
    <row r="62" spans="8:13" ht="12.75">
      <c r="H62" s="363"/>
      <c r="I62" s="368">
        <v>515</v>
      </c>
      <c r="J62" s="368">
        <f t="shared" si="4"/>
        <v>2441.1858038144237</v>
      </c>
      <c r="K62" s="368">
        <f t="shared" si="5"/>
        <v>-21929.233272735</v>
      </c>
      <c r="L62" s="368">
        <f t="shared" si="6"/>
        <v>-47.32120209038723</v>
      </c>
      <c r="M62" s="368">
        <f t="shared" si="7"/>
        <v>0.09126174886936506</v>
      </c>
    </row>
    <row r="63" spans="8:13" ht="12.75">
      <c r="H63" s="363"/>
      <c r="I63" s="368">
        <v>520</v>
      </c>
      <c r="J63" s="368">
        <f t="shared" si="4"/>
        <v>2677.60353200779</v>
      </c>
      <c r="K63" s="368">
        <f t="shared" si="5"/>
        <v>-21890.017923360003</v>
      </c>
      <c r="L63" s="368">
        <f t="shared" si="6"/>
        <v>-47.24542587570729</v>
      </c>
      <c r="M63" s="368">
        <f t="shared" si="7"/>
        <v>0.07422716942394204</v>
      </c>
    </row>
    <row r="64" spans="8:13" ht="12.75">
      <c r="H64" s="363"/>
      <c r="I64" s="368">
        <v>525</v>
      </c>
      <c r="J64" s="368">
        <f t="shared" si="4"/>
        <v>2913.6354512024263</v>
      </c>
      <c r="K64" s="368">
        <f t="shared" si="5"/>
        <v>-21848.978026485</v>
      </c>
      <c r="L64" s="368">
        <f t="shared" si="6"/>
        <v>-47.16688281464272</v>
      </c>
      <c r="M64" s="368">
        <f t="shared" si="7"/>
        <v>0.06063274974936278</v>
      </c>
    </row>
    <row r="65" spans="8:13" ht="12.75">
      <c r="H65" s="363"/>
      <c r="I65" s="368">
        <v>530</v>
      </c>
      <c r="J65" s="368">
        <f t="shared" si="4"/>
        <v>3149.2677914060914</v>
      </c>
      <c r="K65" s="368">
        <f t="shared" si="5"/>
        <v>-21806.099403359996</v>
      </c>
      <c r="L65" s="368">
        <f t="shared" si="6"/>
        <v>-47.085598480690734</v>
      </c>
      <c r="M65" s="368">
        <f t="shared" si="7"/>
        <v>0.04973643451427491</v>
      </c>
    </row>
    <row r="66" spans="8:13" ht="12.75">
      <c r="H66" s="363"/>
      <c r="I66" s="368">
        <v>535</v>
      </c>
      <c r="J66" s="368">
        <f t="shared" si="4"/>
        <v>3384.486908681545</v>
      </c>
      <c r="K66" s="368">
        <f t="shared" si="5"/>
        <v>-21761.367875235</v>
      </c>
      <c r="L66" s="368">
        <f t="shared" si="6"/>
        <v>-47.00159772694681</v>
      </c>
      <c r="M66" s="368">
        <f t="shared" si="7"/>
        <v>0.04096562009736038</v>
      </c>
    </row>
    <row r="67" spans="8:13" ht="12.75">
      <c r="H67" s="363"/>
      <c r="I67" s="368">
        <v>540</v>
      </c>
      <c r="J67" s="368">
        <f t="shared" si="4"/>
        <v>3619.279281612173</v>
      </c>
      <c r="K67" s="368">
        <f t="shared" si="5"/>
        <v>-21714.769263359998</v>
      </c>
      <c r="L67" s="368">
        <f t="shared" si="6"/>
        <v>-46.91490471291143</v>
      </c>
      <c r="M67" s="368">
        <f t="shared" si="7"/>
        <v>0.033876461096980254</v>
      </c>
    </row>
    <row r="68" spans="8:13" ht="12.75">
      <c r="H68" s="363"/>
      <c r="I68" s="368">
        <v>545</v>
      </c>
      <c r="J68" s="368">
        <f t="shared" si="4"/>
        <v>3853.6315078983826</v>
      </c>
      <c r="K68" s="368">
        <f t="shared" si="5"/>
        <v>-21666.289388985</v>
      </c>
      <c r="L68" s="368">
        <f t="shared" si="6"/>
        <v>-46.825542930061246</v>
      </c>
      <c r="M68" s="368">
        <f t="shared" si="7"/>
        <v>0.028123400724661643</v>
      </c>
    </row>
    <row r="69" spans="8:13" ht="12.75">
      <c r="H69" s="363"/>
      <c r="I69" s="368">
        <v>550</v>
      </c>
      <c r="J69" s="368">
        <f t="shared" si="4"/>
        <v>4087.530301078972</v>
      </c>
      <c r="K69" s="368">
        <f t="shared" si="5"/>
        <v>-21615.91407336</v>
      </c>
      <c r="L69" s="368">
        <f t="shared" si="6"/>
        <v>-46.73353522625268</v>
      </c>
      <c r="M69" s="368">
        <f t="shared" si="7"/>
        <v>0.023436249042724434</v>
      </c>
    </row>
    <row r="70" spans="8:13" ht="12.75">
      <c r="H70" s="363"/>
      <c r="I70" s="368">
        <v>555</v>
      </c>
      <c r="J70" s="368">
        <f t="shared" si="4"/>
        <v>4320.9624873717585</v>
      </c>
      <c r="K70" s="368">
        <f t="shared" si="5"/>
        <v>-21563.629137735</v>
      </c>
      <c r="L70" s="368">
        <f t="shared" si="6"/>
        <v>-46.63890382902118</v>
      </c>
      <c r="M70" s="368">
        <f t="shared" si="7"/>
        <v>0.019602860184958323</v>
      </c>
    </row>
    <row r="71" spans="8:13" ht="12.75">
      <c r="H71" s="363"/>
      <c r="I71" s="368">
        <v>560</v>
      </c>
      <c r="J71" s="368">
        <f t="shared" si="4"/>
        <v>4553.915002627968</v>
      </c>
      <c r="K71" s="368">
        <f t="shared" si="5"/>
        <v>-21509.42040336</v>
      </c>
      <c r="L71" s="368">
        <f t="shared" si="6"/>
        <v>-46.54167036783566</v>
      </c>
      <c r="M71" s="368">
        <f t="shared" si="7"/>
        <v>0.0164559823356484</v>
      </c>
    </row>
    <row r="72" spans="8:13" ht="12.75">
      <c r="H72" s="363"/>
      <c r="I72" s="368">
        <v>565</v>
      </c>
      <c r="J72" s="368">
        <f t="shared" si="4"/>
        <v>4786.374889395545</v>
      </c>
      <c r="K72" s="368">
        <f t="shared" si="5"/>
        <v>-21453.273691485003</v>
      </c>
      <c r="L72" s="368">
        <f t="shared" si="6"/>
        <v>-46.4418558953638</v>
      </c>
      <c r="M72" s="368">
        <f t="shared" si="7"/>
        <v>0.013863231741251673</v>
      </c>
    </row>
    <row r="73" spans="8:13" ht="12.75">
      <c r="H73" s="363"/>
      <c r="I73" s="368">
        <v>570</v>
      </c>
      <c r="J73" s="368">
        <f t="shared" si="4"/>
        <v>5018.329294086285</v>
      </c>
      <c r="K73" s="368">
        <f t="shared" si="5"/>
        <v>-21395.17482336</v>
      </c>
      <c r="L73" s="368">
        <f t="shared" si="6"/>
        <v>-46.3394809078005</v>
      </c>
      <c r="M73" s="368">
        <f t="shared" si="7"/>
        <v>0.011719416020662883</v>
      </c>
    </row>
    <row r="74" spans="8:13" ht="12.75">
      <c r="H74" s="363"/>
      <c r="I74" s="368">
        <v>575</v>
      </c>
      <c r="J74" s="368">
        <f t="shared" si="4"/>
        <v>5249.765464242468</v>
      </c>
      <c r="K74" s="368">
        <f t="shared" si="5"/>
        <v>-21335.109620235</v>
      </c>
      <c r="L74" s="368">
        <f t="shared" si="6"/>
        <v>-46.234565364308644</v>
      </c>
      <c r="M74" s="368">
        <f t="shared" si="7"/>
        <v>0.009940631848281003</v>
      </c>
    </row>
    <row r="75" spans="8:13" ht="12.75">
      <c r="H75" s="363"/>
      <c r="I75" s="368">
        <v>580</v>
      </c>
      <c r="J75" s="368">
        <f t="shared" si="4"/>
        <v>5480.670745898518</v>
      </c>
      <c r="K75" s="368">
        <f t="shared" si="5"/>
        <v>-21273.06390336</v>
      </c>
      <c r="L75" s="368">
        <f t="shared" si="6"/>
        <v>-46.127128705618134</v>
      </c>
      <c r="M75" s="368">
        <f t="shared" si="7"/>
        <v>0.008459708468749012</v>
      </c>
    </row>
    <row r="76" spans="8:13" ht="12.75">
      <c r="H76" s="363"/>
      <c r="I76" s="368">
        <v>585</v>
      </c>
      <c r="J76" s="368">
        <f t="shared" si="4"/>
        <v>5711.03258103368</v>
      </c>
      <c r="K76" s="368">
        <f t="shared" si="5"/>
        <v>-21209.023493984998</v>
      </c>
      <c r="L76" s="368">
        <f t="shared" si="6"/>
        <v>-46.0171898718268</v>
      </c>
      <c r="M76" s="368">
        <f t="shared" si="7"/>
        <v>0.0072226762321256615</v>
      </c>
    </row>
    <row r="77" spans="8:13" ht="12.75">
      <c r="H77" s="363"/>
      <c r="I77" s="368">
        <v>590</v>
      </c>
      <c r="J77" s="368">
        <f t="shared" si="4"/>
        <v>5940.838505111751</v>
      </c>
      <c r="K77" s="368">
        <f t="shared" si="5"/>
        <v>-21142.97421336</v>
      </c>
      <c r="L77" s="368">
        <f t="shared" si="6"/>
        <v>-45.90476731944365</v>
      </c>
      <c r="M77" s="368">
        <f t="shared" si="7"/>
        <v>0.0061860189706477164</v>
      </c>
    </row>
    <row r="78" spans="8:13" ht="12.75">
      <c r="H78" s="363"/>
      <c r="I78" s="368">
        <v>595</v>
      </c>
      <c r="J78" s="368">
        <f t="shared" si="4"/>
        <v>6170.076144704279</v>
      </c>
      <c r="K78" s="368">
        <f t="shared" si="5"/>
        <v>-21074.901882735</v>
      </c>
      <c r="L78" s="368">
        <f t="shared" si="6"/>
        <v>-45.78987903771308</v>
      </c>
      <c r="M78" s="368">
        <f t="shared" si="7"/>
        <v>0.005314528155192131</v>
      </c>
    </row>
    <row r="79" spans="8:13" ht="12.75">
      <c r="H79" s="363"/>
      <c r="I79" s="368">
        <v>600</v>
      </c>
      <c r="J79" s="368">
        <f t="shared" si="4"/>
        <v>6398.733215193592</v>
      </c>
      <c r="K79" s="368">
        <f t="shared" si="5"/>
        <v>-21004.79232336</v>
      </c>
      <c r="L79" s="368">
        <f t="shared" si="6"/>
        <v>-45.67254256425599</v>
      </c>
      <c r="M79" s="368">
        <f t="shared" si="7"/>
        <v>0.004579620841286511</v>
      </c>
    </row>
    <row r="80" spans="8:13" ht="12.75">
      <c r="H80" s="363"/>
      <c r="I80" s="368">
        <v>605</v>
      </c>
      <c r="J80" s="368">
        <f t="shared" si="4"/>
        <v>6626.797518552408</v>
      </c>
      <c r="K80" s="368">
        <f t="shared" si="5"/>
        <v>-20932.631356485</v>
      </c>
      <c r="L80" s="368">
        <f t="shared" si="6"/>
        <v>-45.55277500006183</v>
      </c>
      <c r="M80" s="368">
        <f t="shared" si="7"/>
        <v>0.003958016405307704</v>
      </c>
    </row>
    <row r="81" spans="8:13" ht="12.75">
      <c r="H81" s="363"/>
      <c r="I81" s="368">
        <v>610</v>
      </c>
      <c r="J81" s="368">
        <f t="shared" si="4"/>
        <v>6854.256941196891</v>
      </c>
      <c r="K81" s="368">
        <f t="shared" si="5"/>
        <v>-20858.40480336</v>
      </c>
      <c r="L81" s="368">
        <f t="shared" si="6"/>
        <v>-45.43059302386376</v>
      </c>
      <c r="M81" s="368">
        <f t="shared" si="7"/>
        <v>0.0034306918668243515</v>
      </c>
    </row>
    <row r="82" spans="8:13" ht="12.75">
      <c r="H82" s="363"/>
      <c r="I82" s="368">
        <v>615</v>
      </c>
      <c r="J82" s="368">
        <f t="shared" si="4"/>
        <v>7081.099451910097</v>
      </c>
      <c r="K82" s="368">
        <f t="shared" si="5"/>
        <v>-20782.098485235</v>
      </c>
      <c r="L82" s="368">
        <f t="shared" si="6"/>
        <v>-45.30601290592699</v>
      </c>
      <c r="M82" s="368">
        <f t="shared" si="7"/>
        <v>0.002982054302100068</v>
      </c>
    </row>
    <row r="83" spans="8:13" ht="12.75">
      <c r="H83" s="363"/>
      <c r="I83" s="368">
        <v>620</v>
      </c>
      <c r="J83" s="368">
        <f aca="true" t="shared" si="8" ref="J83:J119">K83-I83*L83</f>
        <v>7307.313099832885</v>
      </c>
      <c r="K83" s="368">
        <f aca="true" t="shared" si="9" ref="K83:K119">K$14+K$11*(I83-298)+K$12*(I83^2-298^2)/2+K$13*(I83^3-298^3)/3</f>
        <v>-20703.698223360003</v>
      </c>
      <c r="L83" s="368">
        <f aca="true" t="shared" si="10" ref="L83:L119">K$15+K$11*LN(I83/298)+K$12*(I83-298)+K$13*(I83^2-298^2)/2</f>
        <v>-45.17905052127885</v>
      </c>
      <c r="M83" s="368">
        <f aca="true" t="shared" si="11" ref="M83:M119">EXP(-J83/1.98/I83)</f>
        <v>0.0025992830248258506</v>
      </c>
    </row>
    <row r="84" spans="8:13" ht="12.75">
      <c r="H84" s="363"/>
      <c r="I84" s="368">
        <v>625</v>
      </c>
      <c r="J84" s="368">
        <f t="shared" si="8"/>
        <v>7532.88601251975</v>
      </c>
      <c r="K84" s="368">
        <f t="shared" si="9"/>
        <v>-20623.189838985003</v>
      </c>
      <c r="L84" s="368">
        <f t="shared" si="10"/>
        <v>-45.0497213624076</v>
      </c>
      <c r="M84" s="368">
        <f t="shared" si="11"/>
        <v>0.002271804984310535</v>
      </c>
    </row>
    <row r="85" spans="8:13" ht="12.75">
      <c r="H85" s="363"/>
      <c r="I85" s="368">
        <v>630</v>
      </c>
      <c r="J85" s="368">
        <f t="shared" si="8"/>
        <v>7757.806394056752</v>
      </c>
      <c r="K85" s="368">
        <f t="shared" si="9"/>
        <v>-20540.55915336</v>
      </c>
      <c r="L85" s="368">
        <f t="shared" si="10"/>
        <v>-44.918040551455164</v>
      </c>
      <c r="M85" s="368">
        <f t="shared" si="11"/>
        <v>0.001990875053041862</v>
      </c>
    </row>
    <row r="86" spans="8:13" ht="12.75">
      <c r="H86" s="363"/>
      <c r="I86" s="368">
        <v>635</v>
      </c>
      <c r="J86" s="368">
        <f t="shared" si="8"/>
        <v>7982.062523239307</v>
      </c>
      <c r="K86" s="368">
        <f t="shared" si="9"/>
        <v>-20455.791987735</v>
      </c>
      <c r="L86" s="368">
        <f t="shared" si="10"/>
        <v>-44.78402285192804</v>
      </c>
      <c r="M86" s="368">
        <f t="shared" si="11"/>
        <v>0.001749239172032987</v>
      </c>
    </row>
    <row r="87" spans="8:13" ht="12.75">
      <c r="H87" s="363"/>
      <c r="I87" s="368">
        <v>640</v>
      </c>
      <c r="J87" s="368">
        <f t="shared" si="8"/>
        <v>8205.642751807307</v>
      </c>
      <c r="K87" s="368">
        <f t="shared" si="9"/>
        <v>-20368.874163360004</v>
      </c>
      <c r="L87" s="368">
        <f t="shared" si="10"/>
        <v>-44.64768267994892</v>
      </c>
      <c r="M87" s="368">
        <f t="shared" si="11"/>
        <v>0.001540863161490721</v>
      </c>
    </row>
    <row r="88" spans="8:13" ht="12.75">
      <c r="H88" s="363"/>
      <c r="I88" s="368">
        <v>645</v>
      </c>
      <c r="J88" s="368">
        <f t="shared" si="8"/>
        <v>8428.53550273542</v>
      </c>
      <c r="K88" s="368">
        <f t="shared" si="9"/>
        <v>-20279.791501485</v>
      </c>
      <c r="L88" s="368">
        <f t="shared" si="10"/>
        <v>-44.50903411507042</v>
      </c>
      <c r="M88" s="368">
        <f t="shared" si="11"/>
        <v>0.001360713736235366</v>
      </c>
    </row>
    <row r="89" spans="8:13" ht="12.75">
      <c r="H89" s="363"/>
      <c r="I89" s="368">
        <v>650</v>
      </c>
      <c r="J89" s="368">
        <f t="shared" si="8"/>
        <v>8650.729268576382</v>
      </c>
      <c r="K89" s="368">
        <f t="shared" si="9"/>
        <v>-20188.52982336</v>
      </c>
      <c r="L89" s="368">
        <f t="shared" si="10"/>
        <v>-44.368090910671356</v>
      </c>
      <c r="M89" s="368">
        <f t="shared" si="11"/>
        <v>0.0012045811530329877</v>
      </c>
    </row>
    <row r="90" spans="8:13" ht="12.75">
      <c r="H90" s="363"/>
      <c r="I90" s="368">
        <v>655</v>
      </c>
      <c r="J90" s="368">
        <f t="shared" si="8"/>
        <v>8872.212609855294</v>
      </c>
      <c r="K90" s="368">
        <f t="shared" si="9"/>
        <v>-20095.074950235</v>
      </c>
      <c r="L90" s="368">
        <f t="shared" si="10"/>
        <v>-44.22486650395465</v>
      </c>
      <c r="M90" s="368">
        <f t="shared" si="11"/>
        <v>0.0010689351589110933</v>
      </c>
    </row>
    <row r="91" spans="8:13" ht="12.75">
      <c r="H91" s="363"/>
      <c r="I91" s="368">
        <v>660</v>
      </c>
      <c r="J91" s="368">
        <f t="shared" si="8"/>
        <v>9092.97415351298</v>
      </c>
      <c r="K91" s="368">
        <f t="shared" si="9"/>
        <v>-19999.41270336</v>
      </c>
      <c r="L91" s="368">
        <f t="shared" si="10"/>
        <v>-44.07937402556512</v>
      </c>
      <c r="M91" s="368">
        <f t="shared" si="11"/>
        <v>0.0009508076556890548</v>
      </c>
    </row>
    <row r="92" spans="8:13" ht="12.75">
      <c r="H92" s="363"/>
      <c r="I92" s="368">
        <v>665</v>
      </c>
      <c r="J92" s="368">
        <f t="shared" si="8"/>
        <v>9313.002591396413</v>
      </c>
      <c r="K92" s="368">
        <f t="shared" si="9"/>
        <v>-19901.528903985003</v>
      </c>
      <c r="L92" s="368">
        <f t="shared" si="10"/>
        <v>-43.93162630884424</v>
      </c>
      <c r="M92" s="368">
        <f t="shared" si="11"/>
        <v>0.0008476968603050996</v>
      </c>
    </row>
    <row r="93" spans="8:13" ht="12.75">
      <c r="H93" s="363"/>
      <c r="I93" s="368">
        <v>670</v>
      </c>
      <c r="J93" s="368">
        <f t="shared" si="8"/>
        <v>9532.286678794662</v>
      </c>
      <c r="K93" s="368">
        <f t="shared" si="9"/>
        <v>-19801.40937336</v>
      </c>
      <c r="L93" s="368">
        <f t="shared" si="10"/>
        <v>-43.7816358987383</v>
      </c>
      <c r="M93" s="368">
        <f t="shared" si="11"/>
        <v>0.0007574888098603783</v>
      </c>
    </row>
    <row r="94" spans="8:13" ht="12.75">
      <c r="H94" s="363"/>
      <c r="I94" s="368">
        <v>675</v>
      </c>
      <c r="J94" s="368">
        <f t="shared" si="8"/>
        <v>9750.815233018464</v>
      </c>
      <c r="K94" s="368">
        <f t="shared" si="9"/>
        <v>-19699.039932734995</v>
      </c>
      <c r="L94" s="368">
        <f t="shared" si="10"/>
        <v>-43.62941506037549</v>
      </c>
      <c r="M94" s="368">
        <f t="shared" si="11"/>
        <v>0.0006783929009714089</v>
      </c>
    </row>
    <row r="95" spans="8:13" ht="12.75">
      <c r="H95" s="363"/>
      <c r="I95" s="368">
        <v>680</v>
      </c>
      <c r="J95" s="368">
        <f t="shared" si="8"/>
        <v>9968.577132021914</v>
      </c>
      <c r="K95" s="368">
        <f t="shared" si="9"/>
        <v>-19594.40640336</v>
      </c>
      <c r="L95" s="368">
        <f t="shared" si="10"/>
        <v>-43.47497578732634</v>
      </c>
      <c r="M95" s="368">
        <f t="shared" si="11"/>
        <v>0.0006088888158948916</v>
      </c>
    </row>
    <row r="96" spans="8:13" ht="12.75">
      <c r="H96" s="363"/>
      <c r="I96" s="368">
        <v>685</v>
      </c>
      <c r="J96" s="368">
        <f t="shared" si="8"/>
        <v>10185.561313064747</v>
      </c>
      <c r="K96" s="368">
        <f t="shared" si="9"/>
        <v>-19487.494606485</v>
      </c>
      <c r="L96" s="368">
        <f t="shared" si="10"/>
        <v>-43.318329809561675</v>
      </c>
      <c r="M96" s="368">
        <f t="shared" si="11"/>
        <v>0.0005476827120970528</v>
      </c>
    </row>
    <row r="97" spans="8:13" ht="12.75">
      <c r="H97" s="363"/>
      <c r="I97" s="368">
        <v>690</v>
      </c>
      <c r="J97" s="368">
        <f t="shared" si="8"/>
        <v>10401.756771413537</v>
      </c>
      <c r="K97" s="368">
        <f t="shared" si="9"/>
        <v>-19378.29036336</v>
      </c>
      <c r="L97" s="368">
        <f t="shared" si="10"/>
        <v>-43.15948860112107</v>
      </c>
      <c r="M97" s="368">
        <f t="shared" si="11"/>
        <v>0.0004936709676787133</v>
      </c>
    </row>
    <row r="98" spans="8:13" ht="12.75">
      <c r="H98" s="363"/>
      <c r="I98" s="368">
        <v>695</v>
      </c>
      <c r="J98" s="368">
        <f t="shared" si="8"/>
        <v>10617.152559080736</v>
      </c>
      <c r="K98" s="368">
        <f t="shared" si="9"/>
        <v>-19266.779495235</v>
      </c>
      <c r="L98" s="368">
        <f t="shared" si="10"/>
        <v>-42.99846338750466</v>
      </c>
      <c r="M98" s="368">
        <f t="shared" si="11"/>
        <v>0.00044591010570850124</v>
      </c>
    </row>
    <row r="99" spans="8:13" ht="12.75">
      <c r="H99" s="363"/>
      <c r="I99" s="368">
        <v>700</v>
      </c>
      <c r="J99" s="368">
        <f t="shared" si="8"/>
        <v>10831.737783599798</v>
      </c>
      <c r="K99" s="368">
        <f t="shared" si="9"/>
        <v>-19152.947823360002</v>
      </c>
      <c r="L99" s="368">
        <f t="shared" si="10"/>
        <v>-42.835265152799714</v>
      </c>
      <c r="M99" s="368">
        <f t="shared" si="11"/>
        <v>0.00040359178420463815</v>
      </c>
    </row>
    <row r="100" spans="8:13" ht="12.75">
      <c r="H100" s="363"/>
      <c r="I100" s="368">
        <v>705</v>
      </c>
      <c r="J100" s="368">
        <f t="shared" si="8"/>
        <v>11045.501606835493</v>
      </c>
      <c r="K100" s="368">
        <f t="shared" si="9"/>
        <v>-19036.781168985002</v>
      </c>
      <c r="L100" s="368">
        <f t="shared" si="10"/>
        <v>-42.669904646553896</v>
      </c>
      <c r="M100" s="368">
        <f t="shared" si="11"/>
        <v>0.00036602194936582576</v>
      </c>
    </row>
    <row r="101" spans="8:13" ht="12.75">
      <c r="H101" s="363"/>
      <c r="I101" s="368">
        <v>710</v>
      </c>
      <c r="J101" s="368">
        <f t="shared" si="8"/>
        <v>11258.433243827807</v>
      </c>
      <c r="K101" s="368">
        <f t="shared" si="9"/>
        <v>-18918.26535336</v>
      </c>
      <c r="L101" s="368">
        <f t="shared" si="10"/>
        <v>-42.50239239040536</v>
      </c>
      <c r="M101" s="368">
        <f t="shared" si="11"/>
        <v>0.00033260341871611224</v>
      </c>
    </row>
    <row r="102" spans="8:13" ht="12.75">
      <c r="H102" s="363"/>
      <c r="I102" s="368">
        <v>715</v>
      </c>
      <c r="J102" s="368">
        <f t="shared" si="8"/>
        <v>11470.521961668539</v>
      </c>
      <c r="K102" s="368">
        <f t="shared" si="9"/>
        <v>-18797.386197735</v>
      </c>
      <c r="L102" s="368">
        <f t="shared" si="10"/>
        <v>-42.332738684480475</v>
      </c>
      <c r="M102" s="368">
        <f t="shared" si="11"/>
        <v>0.00030282129673349356</v>
      </c>
    </row>
    <row r="103" spans="8:13" ht="12.75">
      <c r="H103" s="363"/>
      <c r="I103" s="368">
        <v>720</v>
      </c>
      <c r="J103" s="368">
        <f t="shared" si="8"/>
        <v>11681.75707840926</v>
      </c>
      <c r="K103" s="368">
        <f t="shared" si="9"/>
        <v>-18674.129523360003</v>
      </c>
      <c r="L103" s="368">
        <f t="shared" si="10"/>
        <v>-42.160953613568424</v>
      </c>
      <c r="M103" s="368">
        <f t="shared" si="11"/>
        <v>0.0002762307350609848</v>
      </c>
    </row>
    <row r="104" spans="8:13" ht="12.75">
      <c r="H104" s="363"/>
      <c r="I104" s="368">
        <v>725</v>
      </c>
      <c r="J104" s="368">
        <f t="shared" si="8"/>
        <v>11892.127961999584</v>
      </c>
      <c r="K104" s="368">
        <f t="shared" si="9"/>
        <v>-18548.481151485</v>
      </c>
      <c r="L104" s="368">
        <f t="shared" si="10"/>
        <v>-41.987047053082186</v>
      </c>
      <c r="M104" s="368">
        <f t="shared" si="11"/>
        <v>0.00025244663789151427</v>
      </c>
    </row>
    <row r="105" spans="8:13" ht="12.75">
      <c r="H105" s="363"/>
      <c r="I105" s="368">
        <v>730</v>
      </c>
      <c r="J105" s="368">
        <f t="shared" si="8"/>
        <v>12101.624029254785</v>
      </c>
      <c r="K105" s="368">
        <f t="shared" si="9"/>
        <v>-18420.426903360003</v>
      </c>
      <c r="L105" s="368">
        <f t="shared" si="10"/>
        <v>-41.81102867481478</v>
      </c>
      <c r="M105" s="368">
        <f t="shared" si="11"/>
        <v>0.0002311349847907023</v>
      </c>
    </row>
    <row r="106" spans="8:13" ht="12.75">
      <c r="H106" s="363"/>
      <c r="I106" s="368">
        <v>735</v>
      </c>
      <c r="J106" s="368">
        <f t="shared" si="8"/>
        <v>12310.234744851688</v>
      </c>
      <c r="K106" s="368">
        <f t="shared" si="9"/>
        <v>-18289.952600235</v>
      </c>
      <c r="L106" s="368">
        <f t="shared" si="10"/>
        <v>-41.6329079524989</v>
      </c>
      <c r="M106" s="368">
        <f t="shared" si="11"/>
        <v>0.0002120055014114407</v>
      </c>
    </row>
    <row r="107" spans="8:13" ht="12.75">
      <c r="H107" s="363"/>
      <c r="I107" s="368">
        <v>740</v>
      </c>
      <c r="J107" s="368">
        <f t="shared" si="8"/>
        <v>12517.949620351857</v>
      </c>
      <c r="K107" s="368">
        <f t="shared" si="9"/>
        <v>-18157.044063359997</v>
      </c>
      <c r="L107" s="368">
        <f t="shared" si="10"/>
        <v>-41.45269416717818</v>
      </c>
      <c r="M107" s="368">
        <f t="shared" si="11"/>
        <v>0.00019480545590945612</v>
      </c>
    </row>
    <row r="108" spans="8:13" ht="12.75">
      <c r="H108" s="363"/>
      <c r="I108" s="368">
        <v>745</v>
      </c>
      <c r="J108" s="368">
        <f t="shared" si="8"/>
        <v>12724.758213251178</v>
      </c>
      <c r="K108" s="368">
        <f t="shared" si="9"/>
        <v>-18021.687113984997</v>
      </c>
      <c r="L108" s="368">
        <f t="shared" si="10"/>
        <v>-41.27039641239755</v>
      </c>
      <c r="M108" s="368">
        <f t="shared" si="11"/>
        <v>0.00017931439749680042</v>
      </c>
    </row>
    <row r="109" spans="8:13" ht="12.75">
      <c r="H109" s="363"/>
      <c r="I109" s="368">
        <v>750</v>
      </c>
      <c r="J109" s="368">
        <f t="shared" si="8"/>
        <v>12930.650126055032</v>
      </c>
      <c r="K109" s="368">
        <f t="shared" si="9"/>
        <v>-17883.867573360003</v>
      </c>
      <c r="L109" s="368">
        <f t="shared" si="10"/>
        <v>-41.08602359922005</v>
      </c>
      <c r="M109" s="368">
        <f t="shared" si="11"/>
        <v>0.0001653396851509075</v>
      </c>
    </row>
    <row r="110" spans="8:13" ht="12.75">
      <c r="H110" s="363"/>
      <c r="I110" s="368">
        <v>755</v>
      </c>
      <c r="J110" s="368">
        <f t="shared" si="8"/>
        <v>13135.61500537804</v>
      </c>
      <c r="K110" s="368">
        <f t="shared" si="9"/>
        <v>-17743.571262735</v>
      </c>
      <c r="L110" s="368">
        <f t="shared" si="10"/>
        <v>-40.89958446107688</v>
      </c>
      <c r="M110" s="368">
        <f t="shared" si="11"/>
        <v>0.0001527126803741136</v>
      </c>
    </row>
    <row r="111" spans="8:13" ht="12.75">
      <c r="H111" s="363"/>
      <c r="I111" s="368">
        <v>760</v>
      </c>
      <c r="J111" s="368">
        <f t="shared" si="8"/>
        <v>13339.642541067693</v>
      </c>
      <c r="K111" s="368">
        <f t="shared" si="9"/>
        <v>-17600.78400336</v>
      </c>
      <c r="L111" s="368">
        <f t="shared" si="10"/>
        <v>-40.71108755845749</v>
      </c>
      <c r="M111" s="368">
        <f t="shared" si="11"/>
        <v>0.00014128549914903973</v>
      </c>
    </row>
    <row r="112" spans="8:13" ht="12.75">
      <c r="H112" s="363"/>
      <c r="I112" s="368">
        <v>765</v>
      </c>
      <c r="J112" s="368">
        <f t="shared" si="8"/>
        <v>13542.722465351071</v>
      </c>
      <c r="K112" s="368">
        <f t="shared" si="9"/>
        <v>-17455.491616485004</v>
      </c>
      <c r="L112" s="368">
        <f t="shared" si="10"/>
        <v>-40.52054128344585</v>
      </c>
      <c r="M112" s="368">
        <f t="shared" si="11"/>
        <v>0.00013092823572413798</v>
      </c>
    </row>
    <row r="113" spans="8:13" ht="12.75">
      <c r="H113" s="363"/>
      <c r="I113" s="368">
        <v>770</v>
      </c>
      <c r="J113" s="368">
        <f t="shared" si="8"/>
        <v>13744.844552003822</v>
      </c>
      <c r="K113" s="368">
        <f t="shared" si="9"/>
        <v>-17307.679923360003</v>
      </c>
      <c r="L113" s="368">
        <f t="shared" si="10"/>
        <v>-40.32795386410886</v>
      </c>
      <c r="M113" s="368">
        <f t="shared" si="11"/>
        <v>0.00012152658528739461</v>
      </c>
    </row>
    <row r="114" spans="8:13" ht="12.75">
      <c r="H114" s="363"/>
      <c r="I114" s="368">
        <v>775</v>
      </c>
      <c r="J114" s="368">
        <f t="shared" si="8"/>
        <v>13945.998615540753</v>
      </c>
      <c r="K114" s="368">
        <f t="shared" si="9"/>
        <v>-17157.334745235006</v>
      </c>
      <c r="L114" s="368">
        <f t="shared" si="10"/>
        <v>-40.13333336874292</v>
      </c>
      <c r="M114" s="368">
        <f t="shared" si="11"/>
        <v>0.00011297980450680001</v>
      </c>
    </row>
    <row r="115" spans="8:13" ht="12.75">
      <c r="H115" s="363"/>
      <c r="I115" s="368">
        <v>780</v>
      </c>
      <c r="J115" s="368">
        <f t="shared" si="8"/>
        <v>14146.174510427354</v>
      </c>
      <c r="K115" s="368">
        <f t="shared" si="9"/>
        <v>-17004.44190336</v>
      </c>
      <c r="L115" s="368">
        <f t="shared" si="10"/>
        <v>-39.93668770998379</v>
      </c>
      <c r="M115" s="368">
        <f t="shared" si="11"/>
        <v>0.0001051989587883417</v>
      </c>
    </row>
    <row r="116" spans="8:13" ht="12.75">
      <c r="H116" s="363"/>
      <c r="I116" s="368">
        <v>785</v>
      </c>
      <c r="J116" s="368">
        <f t="shared" si="8"/>
        <v>14345.362130311409</v>
      </c>
      <c r="K116" s="368">
        <f t="shared" si="9"/>
        <v>-16848.987218985</v>
      </c>
      <c r="L116" s="368">
        <f t="shared" si="10"/>
        <v>-39.738024648785235</v>
      </c>
      <c r="M116" s="368">
        <f t="shared" si="11"/>
        <v>9.810541329451749E-05</v>
      </c>
    </row>
    <row r="117" spans="8:13" ht="12.75">
      <c r="H117" s="363"/>
      <c r="I117" s="368">
        <v>790</v>
      </c>
      <c r="J117" s="368">
        <f t="shared" si="8"/>
        <v>14543.551407274354</v>
      </c>
      <c r="K117" s="368">
        <f t="shared" si="9"/>
        <v>-16690.956513359997</v>
      </c>
      <c r="L117" s="368">
        <f t="shared" si="10"/>
        <v>-39.53735179827133</v>
      </c>
      <c r="M117" s="368">
        <f t="shared" si="11"/>
        <v>9.162953157796117E-05</v>
      </c>
    </row>
    <row r="118" spans="8:13" ht="12.75">
      <c r="H118" s="363"/>
      <c r="I118" s="368">
        <v>795</v>
      </c>
      <c r="J118" s="368">
        <f t="shared" si="8"/>
        <v>14740.732311101441</v>
      </c>
      <c r="K118" s="368">
        <f t="shared" si="9"/>
        <v>-16530.335607735004</v>
      </c>
      <c r="L118" s="368">
        <f t="shared" si="10"/>
        <v>-39.334676627467225</v>
      </c>
      <c r="M118" s="368">
        <f t="shared" si="11"/>
        <v>8.570955135961138E-05</v>
      </c>
    </row>
    <row r="119" spans="8:13" ht="12.75">
      <c r="H119" s="363"/>
      <c r="I119" s="368">
        <v>800</v>
      </c>
      <c r="J119" s="368">
        <f t="shared" si="8"/>
        <v>14936.894848570379</v>
      </c>
      <c r="K119" s="368">
        <f t="shared" si="9"/>
        <v>-16367.110323359999</v>
      </c>
      <c r="L119" s="368">
        <f t="shared" si="10"/>
        <v>-39.130006464912974</v>
      </c>
      <c r="M119" s="368">
        <f t="shared" si="11"/>
        <v>8.029061171752745E-05</v>
      </c>
    </row>
    <row r="120" spans="8:13" ht="12.75">
      <c r="H120" s="363"/>
      <c r="I120" s="363"/>
      <c r="J120" s="363"/>
      <c r="K120" s="363"/>
      <c r="L120" s="363"/>
      <c r="M120" s="369"/>
    </row>
    <row r="121" spans="8:13" ht="12.75">
      <c r="H121" s="363"/>
      <c r="I121" s="363"/>
      <c r="J121" s="363"/>
      <c r="K121" s="363"/>
      <c r="L121" s="363"/>
      <c r="M121" s="369"/>
    </row>
    <row r="122" spans="8:13" ht="12.75">
      <c r="H122" s="363"/>
      <c r="I122" s="363"/>
      <c r="J122" s="363"/>
      <c r="K122" s="363"/>
      <c r="L122" s="363"/>
      <c r="M122" s="369"/>
    </row>
    <row r="123" spans="8:13" ht="12.75">
      <c r="H123" s="363"/>
      <c r="I123" s="363"/>
      <c r="J123" s="363"/>
      <c r="K123" s="363"/>
      <c r="L123" s="363"/>
      <c r="M123" s="369"/>
    </row>
    <row r="124" spans="8:13" ht="12.75">
      <c r="H124" s="363"/>
      <c r="I124" s="363"/>
      <c r="J124" s="363"/>
      <c r="K124" s="363"/>
      <c r="L124" s="363"/>
      <c r="M124" s="369"/>
    </row>
    <row r="125" spans="8:13" ht="12.75">
      <c r="H125" s="370"/>
      <c r="I125" s="370"/>
      <c r="J125" s="370"/>
      <c r="K125" s="370"/>
      <c r="L125" s="370"/>
      <c r="M125" s="371"/>
    </row>
    <row r="126" spans="8:13" ht="12.75">
      <c r="H126" s="370"/>
      <c r="I126" s="370"/>
      <c r="J126" s="370"/>
      <c r="K126" s="370"/>
      <c r="L126" s="370"/>
      <c r="M126" s="371"/>
    </row>
    <row r="127" spans="8:13" ht="12.75">
      <c r="H127" s="370"/>
      <c r="I127" s="370"/>
      <c r="J127" s="370"/>
      <c r="K127" s="370"/>
      <c r="L127" s="370"/>
      <c r="M127" s="371"/>
    </row>
    <row r="128" spans="8:13" ht="12.75">
      <c r="H128" s="370"/>
      <c r="I128" s="370"/>
      <c r="J128" s="370"/>
      <c r="K128" s="370"/>
      <c r="L128" s="370"/>
      <c r="M128" s="371"/>
    </row>
    <row r="129" spans="8:13" ht="12.75">
      <c r="H129" s="370"/>
      <c r="I129" s="370"/>
      <c r="J129" s="370"/>
      <c r="K129" s="370"/>
      <c r="L129" s="370"/>
      <c r="M129" s="371"/>
    </row>
    <row r="130" spans="8:13" ht="12.75">
      <c r="H130" s="370"/>
      <c r="I130" s="370"/>
      <c r="J130" s="370"/>
      <c r="K130" s="370"/>
      <c r="L130" s="370"/>
      <c r="M130" s="371"/>
    </row>
    <row r="131" spans="8:13" ht="12.75">
      <c r="H131" s="370"/>
      <c r="I131" s="370"/>
      <c r="J131" s="370"/>
      <c r="K131" s="370"/>
      <c r="L131" s="370"/>
      <c r="M131" s="371"/>
    </row>
    <row r="132" spans="8:13" ht="12.75">
      <c r="H132" s="370"/>
      <c r="I132" s="370"/>
      <c r="J132" s="370"/>
      <c r="K132" s="370"/>
      <c r="L132" s="370"/>
      <c r="M132" s="371"/>
    </row>
    <row r="133" spans="8:13" ht="12.75">
      <c r="H133" s="370"/>
      <c r="I133" s="370"/>
      <c r="J133" s="370"/>
      <c r="K133" s="370"/>
      <c r="L133" s="370"/>
      <c r="M133" s="371"/>
    </row>
    <row r="134" spans="8:13" ht="12.75">
      <c r="H134" s="370"/>
      <c r="I134" s="370"/>
      <c r="J134" s="370"/>
      <c r="K134" s="370"/>
      <c r="L134" s="370"/>
      <c r="M134" s="371"/>
    </row>
    <row r="135" spans="8:13" ht="12.75">
      <c r="H135" s="370"/>
      <c r="I135" s="370"/>
      <c r="J135" s="370"/>
      <c r="K135" s="370"/>
      <c r="L135" s="370"/>
      <c r="M135" s="371"/>
    </row>
    <row r="136" spans="8:13" ht="12.75">
      <c r="H136" s="370"/>
      <c r="I136" s="370"/>
      <c r="J136" s="370"/>
      <c r="K136" s="370"/>
      <c r="L136" s="370"/>
      <c r="M136" s="371"/>
    </row>
    <row r="137" spans="8:13" ht="12.75">
      <c r="H137" s="370"/>
      <c r="I137" s="370"/>
      <c r="J137" s="370"/>
      <c r="K137" s="370"/>
      <c r="L137" s="370"/>
      <c r="M137" s="371"/>
    </row>
    <row r="138" spans="8:13" ht="12.75">
      <c r="H138" s="370"/>
      <c r="I138" s="370"/>
      <c r="J138" s="370"/>
      <c r="K138" s="370"/>
      <c r="L138" s="370"/>
      <c r="M138" s="371"/>
    </row>
    <row r="139" spans="8:13" ht="12.75">
      <c r="H139" s="370"/>
      <c r="I139" s="370"/>
      <c r="J139" s="370"/>
      <c r="K139" s="370"/>
      <c r="L139" s="370"/>
      <c r="M139" s="371"/>
    </row>
    <row r="140" spans="8:13" ht="12.75">
      <c r="H140" s="370"/>
      <c r="I140" s="370"/>
      <c r="J140" s="370"/>
      <c r="K140" s="370"/>
      <c r="L140" s="370"/>
      <c r="M140" s="371"/>
    </row>
    <row r="141" spans="8:13" ht="12.75">
      <c r="H141" s="370"/>
      <c r="I141" s="370"/>
      <c r="J141" s="370"/>
      <c r="K141" s="370"/>
      <c r="L141" s="370"/>
      <c r="M141" s="371"/>
    </row>
    <row r="142" spans="8:13" ht="12.75">
      <c r="H142" s="370"/>
      <c r="I142" s="370"/>
      <c r="J142" s="370"/>
      <c r="K142" s="370"/>
      <c r="L142" s="370"/>
      <c r="M142" s="371"/>
    </row>
    <row r="143" spans="8:13" ht="12.75">
      <c r="H143" s="370"/>
      <c r="I143" s="370"/>
      <c r="J143" s="370"/>
      <c r="K143" s="370"/>
      <c r="L143" s="370"/>
      <c r="M143" s="371"/>
    </row>
    <row r="144" spans="8:13" ht="12.75">
      <c r="H144" s="370"/>
      <c r="I144" s="370"/>
      <c r="J144" s="370"/>
      <c r="K144" s="370"/>
      <c r="L144" s="370"/>
      <c r="M144" s="371"/>
    </row>
    <row r="145" spans="8:13" ht="12.75">
      <c r="H145" s="370"/>
      <c r="I145" s="370"/>
      <c r="J145" s="370"/>
      <c r="K145" s="370"/>
      <c r="L145" s="370"/>
      <c r="M145" s="371"/>
    </row>
    <row r="146" spans="8:13" ht="12.75">
      <c r="H146" s="370"/>
      <c r="I146" s="370"/>
      <c r="J146" s="370"/>
      <c r="K146" s="370"/>
      <c r="L146" s="370"/>
      <c r="M146" s="371"/>
    </row>
    <row r="147" spans="8:13" ht="12.75">
      <c r="H147" s="370"/>
      <c r="I147" s="370"/>
      <c r="J147" s="370"/>
      <c r="K147" s="370"/>
      <c r="L147" s="370"/>
      <c r="M147" s="371"/>
    </row>
    <row r="148" spans="8:13" ht="12.75">
      <c r="H148" s="370"/>
      <c r="I148" s="370"/>
      <c r="J148" s="370"/>
      <c r="K148" s="370"/>
      <c r="L148" s="370"/>
      <c r="M148" s="371"/>
    </row>
    <row r="149" spans="8:13" ht="12.75">
      <c r="H149" s="370"/>
      <c r="I149" s="370"/>
      <c r="J149" s="370"/>
      <c r="K149" s="370"/>
      <c r="L149" s="370"/>
      <c r="M149" s="371"/>
    </row>
    <row r="150" spans="8:13" ht="12.75">
      <c r="H150" s="370"/>
      <c r="I150" s="370"/>
      <c r="J150" s="370"/>
      <c r="K150" s="370"/>
      <c r="L150" s="370"/>
      <c r="M150" s="371"/>
    </row>
    <row r="151" spans="8:13" ht="12.75">
      <c r="H151" s="370"/>
      <c r="I151" s="370"/>
      <c r="J151" s="370"/>
      <c r="K151" s="370"/>
      <c r="L151" s="370"/>
      <c r="M151" s="371"/>
    </row>
    <row r="152" spans="8:13" ht="12.75">
      <c r="H152" s="370"/>
      <c r="I152" s="370"/>
      <c r="J152" s="370"/>
      <c r="K152" s="370"/>
      <c r="L152" s="370"/>
      <c r="M152" s="371"/>
    </row>
    <row r="153" spans="8:13" ht="12.75">
      <c r="H153" s="370"/>
      <c r="I153" s="370"/>
      <c r="J153" s="370"/>
      <c r="K153" s="370"/>
      <c r="L153" s="370"/>
      <c r="M153" s="371"/>
    </row>
    <row r="154" spans="8:13" ht="12.75">
      <c r="H154" s="370"/>
      <c r="I154" s="370"/>
      <c r="J154" s="370"/>
      <c r="K154" s="370"/>
      <c r="L154" s="370"/>
      <c r="M154" s="371"/>
    </row>
    <row r="155" spans="8:13" ht="12.75">
      <c r="H155" s="370"/>
      <c r="I155" s="370"/>
      <c r="J155" s="370"/>
      <c r="K155" s="370"/>
      <c r="L155" s="370"/>
      <c r="M155" s="371"/>
    </row>
    <row r="156" spans="8:13" ht="12.75">
      <c r="H156" s="370"/>
      <c r="I156" s="370"/>
      <c r="J156" s="370"/>
      <c r="K156" s="370"/>
      <c r="L156" s="370"/>
      <c r="M156" s="371"/>
    </row>
    <row r="157" spans="8:13" ht="12.75">
      <c r="H157" s="370"/>
      <c r="I157" s="370"/>
      <c r="J157" s="370"/>
      <c r="K157" s="370"/>
      <c r="L157" s="370"/>
      <c r="M157" s="371"/>
    </row>
    <row r="158" spans="8:13" ht="12.75">
      <c r="H158" s="370"/>
      <c r="I158" s="370"/>
      <c r="J158" s="370"/>
      <c r="K158" s="370"/>
      <c r="L158" s="370"/>
      <c r="M158" s="371"/>
    </row>
    <row r="159" spans="8:13" ht="12.75">
      <c r="H159" s="370"/>
      <c r="I159" s="370"/>
      <c r="J159" s="370"/>
      <c r="K159" s="370"/>
      <c r="L159" s="370"/>
      <c r="M159" s="371"/>
    </row>
    <row r="160" spans="8:13" ht="12.75">
      <c r="H160" s="370"/>
      <c r="I160" s="370"/>
      <c r="J160" s="370"/>
      <c r="K160" s="370"/>
      <c r="L160" s="370"/>
      <c r="M160" s="371"/>
    </row>
    <row r="161" spans="8:13" ht="12.75">
      <c r="H161" s="370"/>
      <c r="I161" s="370"/>
      <c r="J161" s="370"/>
      <c r="K161" s="370"/>
      <c r="L161" s="370"/>
      <c r="M161" s="371"/>
    </row>
    <row r="162" spans="8:13" ht="12.75">
      <c r="H162" s="370"/>
      <c r="I162" s="370"/>
      <c r="J162" s="370"/>
      <c r="K162" s="370"/>
      <c r="L162" s="370"/>
      <c r="M162" s="371"/>
    </row>
    <row r="163" spans="8:13" ht="12.75">
      <c r="H163" s="370"/>
      <c r="I163" s="370"/>
      <c r="J163" s="370"/>
      <c r="K163" s="370"/>
      <c r="L163" s="370"/>
      <c r="M163" s="371"/>
    </row>
    <row r="164" spans="8:13" ht="12.75">
      <c r="H164" s="370"/>
      <c r="I164" s="370"/>
      <c r="J164" s="370"/>
      <c r="K164" s="370"/>
      <c r="L164" s="370"/>
      <c r="M164" s="371"/>
    </row>
    <row r="165" spans="8:13" ht="12.75">
      <c r="H165" s="370"/>
      <c r="I165" s="370"/>
      <c r="J165" s="370"/>
      <c r="K165" s="370"/>
      <c r="L165" s="370"/>
      <c r="M165" s="371"/>
    </row>
    <row r="166" spans="8:13" ht="12.75">
      <c r="H166" s="370"/>
      <c r="I166" s="370"/>
      <c r="J166" s="370"/>
      <c r="K166" s="370"/>
      <c r="L166" s="370"/>
      <c r="M166" s="371"/>
    </row>
    <row r="167" spans="8:13" ht="12.75">
      <c r="H167" s="370"/>
      <c r="I167" s="370"/>
      <c r="J167" s="370"/>
      <c r="K167" s="370"/>
      <c r="L167" s="370"/>
      <c r="M167" s="371"/>
    </row>
    <row r="168" spans="8:13" ht="12.75">
      <c r="H168" s="370"/>
      <c r="I168" s="370"/>
      <c r="J168" s="370"/>
      <c r="K168" s="370"/>
      <c r="L168" s="370"/>
      <c r="M168" s="371"/>
    </row>
    <row r="169" spans="8:13" ht="12.75">
      <c r="H169" s="370"/>
      <c r="I169" s="370"/>
      <c r="J169" s="370"/>
      <c r="K169" s="370"/>
      <c r="L169" s="370"/>
      <c r="M169" s="371"/>
    </row>
    <row r="170" spans="8:13" ht="12.75">
      <c r="H170" s="370"/>
      <c r="I170" s="370"/>
      <c r="J170" s="370"/>
      <c r="K170" s="370"/>
      <c r="L170" s="370"/>
      <c r="M170" s="371"/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&amp;C&amp;F</oddHeader>
    <oddFooter>&amp;CPagina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8"/>
  <sheetViews>
    <sheetView showGridLines="0" workbookViewId="0" topLeftCell="A1">
      <pane ySplit="2" topLeftCell="BM3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2.8515625" style="12" customWidth="1"/>
    <col min="2" max="2" width="3.7109375" style="12" customWidth="1"/>
    <col min="3" max="3" width="15.8515625" style="12" customWidth="1"/>
    <col min="4" max="4" width="5.57421875" style="12" customWidth="1"/>
    <col min="5" max="5" width="9.28125" style="12" customWidth="1"/>
    <col min="6" max="6" width="5.57421875" style="12" customWidth="1"/>
    <col min="7" max="7" width="9.28125" style="12" customWidth="1"/>
    <col min="8" max="8" width="9.00390625" style="12" customWidth="1"/>
    <col min="9" max="9" width="10.8515625" style="12" customWidth="1"/>
    <col min="10" max="16384" width="12.57421875" style="12" customWidth="1"/>
  </cols>
  <sheetData>
    <row r="1" s="376" customFormat="1" ht="15.75"/>
    <row r="2" s="376" customFormat="1" ht="15.75"/>
    <row r="3" spans="2:8" ht="16.5" thickBot="1">
      <c r="B3" s="11"/>
      <c r="C3" s="11"/>
      <c r="D3" s="11"/>
      <c r="E3" s="11"/>
      <c r="F3" s="11"/>
      <c r="G3" s="11"/>
      <c r="H3" s="11"/>
    </row>
    <row r="4" spans="2:8" ht="16.5" thickBot="1">
      <c r="B4" s="11"/>
      <c r="C4" s="13"/>
      <c r="D4" s="14" t="s">
        <v>24</v>
      </c>
      <c r="E4" s="15"/>
      <c r="F4" s="15"/>
      <c r="G4" s="15"/>
      <c r="H4" s="16" t="s">
        <v>25</v>
      </c>
    </row>
    <row r="5" spans="2:8" ht="17.25" thickBot="1" thickTop="1">
      <c r="B5" s="11"/>
      <c r="C5" s="17"/>
      <c r="D5" s="18" t="s">
        <v>26</v>
      </c>
      <c r="E5" s="18"/>
      <c r="F5" s="18" t="s">
        <v>27</v>
      </c>
      <c r="G5" s="18"/>
      <c r="H5" s="19">
        <v>50</v>
      </c>
    </row>
    <row r="6" spans="2:8" ht="16.5" thickTop="1">
      <c r="B6" s="11"/>
      <c r="C6" s="20" t="s">
        <v>28</v>
      </c>
      <c r="D6" s="21">
        <v>0</v>
      </c>
      <c r="E6" s="21">
        <v>0.00775</v>
      </c>
      <c r="F6" s="21">
        <v>100</v>
      </c>
      <c r="G6" s="21">
        <v>0.01535</v>
      </c>
      <c r="H6" s="22">
        <f>E6+(H$5-D6)*(G6-E6)/(F6-D6)</f>
        <v>0.011550000000000001</v>
      </c>
    </row>
    <row r="7" spans="2:8" ht="15.75">
      <c r="B7" s="11"/>
      <c r="C7" s="20" t="s">
        <v>29</v>
      </c>
      <c r="D7" s="21">
        <v>10</v>
      </c>
      <c r="E7" s="21">
        <v>0.41</v>
      </c>
      <c r="F7" s="21">
        <v>80</v>
      </c>
      <c r="G7" s="21">
        <v>0.535</v>
      </c>
      <c r="H7" s="22">
        <f>E7+(H$5-D7)*(G7-E7)/(F7-D7)</f>
        <v>0.48142857142857143</v>
      </c>
    </row>
    <row r="8" spans="2:8" ht="16.5" thickBot="1">
      <c r="B8" s="11"/>
      <c r="C8" s="23" t="s">
        <v>30</v>
      </c>
      <c r="D8" s="24">
        <v>20</v>
      </c>
      <c r="E8" s="24">
        <v>0.62</v>
      </c>
      <c r="F8" s="24">
        <v>80</v>
      </c>
      <c r="G8" s="24">
        <v>0.28</v>
      </c>
      <c r="H8" s="25">
        <f>E8+(H$5-D8)*(G8-E8)/(F8-D8)</f>
        <v>0.45</v>
      </c>
    </row>
    <row r="9" spans="2:8" ht="15.75">
      <c r="B9" s="11"/>
      <c r="C9" s="11"/>
      <c r="D9" s="11"/>
      <c r="E9" s="11"/>
      <c r="F9" s="11"/>
      <c r="G9" s="11"/>
      <c r="H9" s="11"/>
    </row>
    <row r="10" spans="2:8" ht="15.75">
      <c r="B10" s="11"/>
      <c r="C10" s="11"/>
      <c r="D10" s="11"/>
      <c r="E10" s="11"/>
      <c r="F10" s="11"/>
      <c r="G10" s="11"/>
      <c r="H10" s="11"/>
    </row>
    <row r="11" spans="2:8" ht="16.5" thickBot="1">
      <c r="B11" s="11"/>
      <c r="C11" s="11"/>
      <c r="D11" s="11"/>
      <c r="E11" s="11"/>
      <c r="F11" s="11"/>
      <c r="G11" s="11"/>
      <c r="H11" s="11"/>
    </row>
    <row r="12" spans="2:8" ht="16.5" thickBot="1">
      <c r="B12" s="11"/>
      <c r="C12" s="26"/>
      <c r="D12" s="27" t="s">
        <v>31</v>
      </c>
      <c r="E12" s="28"/>
      <c r="F12" s="28"/>
      <c r="G12" s="28"/>
      <c r="H12" s="29" t="s">
        <v>25</v>
      </c>
    </row>
    <row r="13" spans="2:8" ht="17.25" thickBot="1" thickTop="1">
      <c r="B13" s="11"/>
      <c r="C13" s="30"/>
      <c r="D13" s="18" t="s">
        <v>26</v>
      </c>
      <c r="E13" s="31"/>
      <c r="F13" s="18" t="s">
        <v>27</v>
      </c>
      <c r="G13" s="31"/>
      <c r="H13" s="32">
        <v>30</v>
      </c>
    </row>
    <row r="14" spans="2:8" ht="16.5" thickTop="1">
      <c r="B14" s="11"/>
      <c r="C14" s="33" t="s">
        <v>28</v>
      </c>
      <c r="D14" s="34">
        <v>30</v>
      </c>
      <c r="E14" s="34">
        <v>0.128</v>
      </c>
      <c r="F14" s="34">
        <v>70</v>
      </c>
      <c r="G14" s="34">
        <v>0.125</v>
      </c>
      <c r="H14" s="35">
        <f>E14+(H$13-D14)*(G14-E14)/(F14-D14)</f>
        <v>0.128</v>
      </c>
    </row>
    <row r="15" spans="2:8" ht="15.75">
      <c r="B15" s="11"/>
      <c r="C15" s="33" t="s">
        <v>29</v>
      </c>
      <c r="D15" s="34">
        <v>0</v>
      </c>
      <c r="E15" s="34">
        <v>0.415</v>
      </c>
      <c r="F15" s="34">
        <v>60</v>
      </c>
      <c r="G15" s="34">
        <v>0.445</v>
      </c>
      <c r="H15" s="35">
        <f>E15+(H$13-D15)*(G15-E15)/(F15-D15)</f>
        <v>0.43</v>
      </c>
    </row>
    <row r="16" spans="2:8" ht="16.5" thickBot="1">
      <c r="B16" s="11"/>
      <c r="C16" s="36" t="s">
        <v>30</v>
      </c>
      <c r="D16" s="37">
        <v>30</v>
      </c>
      <c r="E16" s="37">
        <v>0.52</v>
      </c>
      <c r="F16" s="37">
        <v>70</v>
      </c>
      <c r="G16" s="37">
        <v>0.34</v>
      </c>
      <c r="H16" s="38">
        <f>E16+(H$13-D16)*(G16-E16)/(F16-D16)</f>
        <v>0.52</v>
      </c>
    </row>
    <row r="17" spans="2:8" ht="15.75">
      <c r="B17" s="11"/>
      <c r="C17" s="11"/>
      <c r="D17" s="11"/>
      <c r="E17" s="11"/>
      <c r="F17" s="11"/>
      <c r="G17" s="11"/>
      <c r="H17" s="11"/>
    </row>
    <row r="18" spans="2:8" ht="16.5" thickBot="1">
      <c r="B18" s="11"/>
      <c r="C18" s="11"/>
      <c r="D18" s="11"/>
      <c r="E18" s="11"/>
      <c r="F18" s="11"/>
      <c r="G18" s="11"/>
      <c r="H18" s="11"/>
    </row>
    <row r="19" spans="2:8" ht="16.5" thickBot="1">
      <c r="B19" s="11"/>
      <c r="C19" s="26"/>
      <c r="D19" s="27" t="s">
        <v>32</v>
      </c>
      <c r="E19" s="28"/>
      <c r="F19" s="28"/>
      <c r="G19" s="28"/>
      <c r="H19" s="29" t="s">
        <v>25</v>
      </c>
    </row>
    <row r="20" spans="2:8" ht="17.25" thickBot="1" thickTop="1">
      <c r="B20" s="11"/>
      <c r="C20" s="30"/>
      <c r="D20" s="18" t="s">
        <v>26</v>
      </c>
      <c r="E20" s="31"/>
      <c r="F20" s="18" t="s">
        <v>27</v>
      </c>
      <c r="G20" s="31"/>
      <c r="H20" s="32">
        <v>30</v>
      </c>
    </row>
    <row r="21" spans="2:8" ht="16.5" thickTop="1">
      <c r="B21" s="11"/>
      <c r="C21" s="33" t="s">
        <v>28</v>
      </c>
      <c r="D21" s="34">
        <v>0</v>
      </c>
      <c r="E21" s="34">
        <v>0.492</v>
      </c>
      <c r="F21" s="34">
        <v>80</v>
      </c>
      <c r="G21" s="34">
        <v>0.593</v>
      </c>
      <c r="H21" s="35">
        <f>E21+(H$20-D21)*(G21-E21)/(F21-D21)</f>
        <v>0.529875</v>
      </c>
    </row>
    <row r="22" spans="2:8" ht="15.75">
      <c r="B22" s="11"/>
      <c r="C22" s="33" t="s">
        <v>29</v>
      </c>
      <c r="D22" s="34">
        <v>0</v>
      </c>
      <c r="E22" s="34">
        <v>1</v>
      </c>
      <c r="F22" s="34">
        <v>100</v>
      </c>
      <c r="G22" s="34">
        <v>1.1</v>
      </c>
      <c r="H22" s="35">
        <f>E22+(H$20-D22)*(G22-E22)/(F22-D22)</f>
        <v>1.03</v>
      </c>
    </row>
    <row r="23" spans="2:8" ht="16.5" thickBot="1">
      <c r="B23" s="11"/>
      <c r="C23" s="36" t="s">
        <v>30</v>
      </c>
      <c r="D23" s="37">
        <v>5</v>
      </c>
      <c r="E23" s="37">
        <v>1.4</v>
      </c>
      <c r="F23" s="37">
        <v>70</v>
      </c>
      <c r="G23" s="37">
        <v>0.67</v>
      </c>
      <c r="H23" s="38">
        <f>E23+(H$20-D23)*(G23-E23)/(F23-D23)</f>
        <v>1.1192307692307693</v>
      </c>
    </row>
    <row r="24" spans="2:8" ht="15.75">
      <c r="B24" s="11"/>
      <c r="C24" s="11"/>
      <c r="D24" s="11"/>
      <c r="E24" s="11"/>
      <c r="F24" s="11"/>
      <c r="G24" s="11"/>
      <c r="H24" s="11"/>
    </row>
    <row r="25" spans="2:8" ht="16.5" thickBot="1">
      <c r="B25" s="11"/>
      <c r="C25" s="11"/>
      <c r="D25" s="11"/>
      <c r="E25" s="11"/>
      <c r="F25" s="11"/>
      <c r="G25" s="11"/>
      <c r="H25" s="11"/>
    </row>
    <row r="26" spans="2:8" ht="16.5" thickBot="1">
      <c r="B26" s="11"/>
      <c r="C26" s="26"/>
      <c r="D26" s="27" t="s">
        <v>33</v>
      </c>
      <c r="E26" s="28"/>
      <c r="F26" s="28"/>
      <c r="G26" s="28"/>
      <c r="H26" s="29" t="s">
        <v>25</v>
      </c>
    </row>
    <row r="27" spans="2:8" ht="17.25" thickBot="1" thickTop="1">
      <c r="B27" s="11"/>
      <c r="C27" s="30"/>
      <c r="D27" s="18" t="s">
        <v>26</v>
      </c>
      <c r="E27" s="31"/>
      <c r="F27" s="18" t="s">
        <v>27</v>
      </c>
      <c r="G27" s="31"/>
      <c r="H27" s="32">
        <v>60</v>
      </c>
    </row>
    <row r="28" spans="2:8" ht="16.5" thickTop="1">
      <c r="B28" s="11"/>
      <c r="C28" s="33" t="s">
        <v>28</v>
      </c>
      <c r="D28" s="34">
        <v>30</v>
      </c>
      <c r="E28" s="34">
        <v>0.128</v>
      </c>
      <c r="F28" s="34">
        <v>60</v>
      </c>
      <c r="G28" s="34">
        <v>0.122</v>
      </c>
      <c r="H28" s="35">
        <f>E28+(H$27-D28)*(G28-E28)/(F28-D28)</f>
        <v>0.122</v>
      </c>
    </row>
    <row r="29" spans="2:8" ht="15.75">
      <c r="B29" s="11"/>
      <c r="C29" s="33" t="s">
        <v>29</v>
      </c>
      <c r="D29" s="34">
        <v>10</v>
      </c>
      <c r="E29" s="34">
        <v>0.41</v>
      </c>
      <c r="F29" s="34">
        <v>80</v>
      </c>
      <c r="G29" s="34">
        <v>0.495</v>
      </c>
      <c r="H29" s="35">
        <f>E29+(H$27-D29)*(G29-E29)/(F29-D29)</f>
        <v>0.4707142857142857</v>
      </c>
    </row>
    <row r="30" spans="2:8" ht="16.5" thickBot="1">
      <c r="B30" s="11"/>
      <c r="C30" s="36" t="s">
        <v>30</v>
      </c>
      <c r="D30" s="37">
        <v>10</v>
      </c>
      <c r="E30" s="37">
        <v>0.82</v>
      </c>
      <c r="F30" s="37">
        <v>70</v>
      </c>
      <c r="G30" s="37">
        <v>0.35</v>
      </c>
      <c r="H30" s="38">
        <f>E30+(H$27-D30)*(G30-E30)/(F30-D30)</f>
        <v>0.4283333333333333</v>
      </c>
    </row>
    <row r="31" spans="2:8" ht="15.75">
      <c r="B31" s="11"/>
      <c r="C31" s="11"/>
      <c r="D31" s="11"/>
      <c r="E31" s="11"/>
      <c r="F31" s="11"/>
      <c r="G31" s="11"/>
      <c r="H31" s="11"/>
    </row>
    <row r="32" spans="2:8" ht="15.75">
      <c r="B32" s="11"/>
      <c r="C32" s="11"/>
      <c r="D32" s="11"/>
      <c r="E32" s="11"/>
      <c r="F32" s="11"/>
      <c r="G32" s="11"/>
      <c r="H32" s="11"/>
    </row>
    <row r="33" spans="2:8" ht="15.75">
      <c r="B33" s="11"/>
      <c r="C33" s="11"/>
      <c r="D33" s="11"/>
      <c r="E33" s="11"/>
      <c r="F33" s="11"/>
      <c r="G33" s="11"/>
      <c r="H33" s="11"/>
    </row>
    <row r="34" spans="2:8" ht="15.75">
      <c r="B34" s="11"/>
      <c r="C34" s="11"/>
      <c r="D34" s="11"/>
      <c r="E34" s="11"/>
      <c r="F34" s="11"/>
      <c r="G34" s="11"/>
      <c r="H34" s="11"/>
    </row>
    <row r="35" spans="2:8" ht="15.75">
      <c r="B35" s="11"/>
      <c r="C35" s="11"/>
      <c r="D35" s="11"/>
      <c r="E35" s="11"/>
      <c r="F35" s="11"/>
      <c r="G35" s="11"/>
      <c r="H35" s="11"/>
    </row>
    <row r="36" spans="2:8" ht="15.75">
      <c r="B36" s="11"/>
      <c r="C36" s="11"/>
      <c r="D36" s="11"/>
      <c r="E36" s="11"/>
      <c r="F36" s="11"/>
      <c r="G36" s="11"/>
      <c r="H36" s="11"/>
    </row>
    <row r="37" spans="2:8" ht="15.75">
      <c r="B37" s="11"/>
      <c r="C37" s="11"/>
      <c r="D37" s="11"/>
      <c r="E37" s="11"/>
      <c r="F37" s="11"/>
      <c r="G37" s="11"/>
      <c r="H37" s="11"/>
    </row>
    <row r="38" spans="2:8" ht="15.75">
      <c r="B38" s="11"/>
      <c r="C38" s="11"/>
      <c r="D38" s="11"/>
      <c r="E38" s="11"/>
      <c r="F38" s="11"/>
      <c r="G38" s="11"/>
      <c r="H38" s="11"/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&amp;C&amp;F</oddHeader>
    <oddFooter>&amp;CPagina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9"/>
  <sheetViews>
    <sheetView showGridLines="0" workbookViewId="0" topLeftCell="A1">
      <pane ySplit="2" topLeftCell="BM3" activePane="bottomLeft" state="frozen"/>
      <selection pane="topLeft" activeCell="A1" sqref="A1:IV2"/>
      <selection pane="bottomLeft" activeCell="G4" sqref="G4"/>
    </sheetView>
  </sheetViews>
  <sheetFormatPr defaultColWidth="9.140625" defaultRowHeight="12.75"/>
  <cols>
    <col min="1" max="1" width="7.00390625" style="39" customWidth="1"/>
    <col min="2" max="2" width="18.28125" style="39" customWidth="1"/>
    <col min="3" max="5" width="8.00390625" style="39" customWidth="1"/>
    <col min="6" max="6" width="10.7109375" style="39" customWidth="1"/>
    <col min="7" max="7" width="7.00390625" style="39" customWidth="1"/>
    <col min="8" max="8" width="5.8515625" style="39" customWidth="1"/>
    <col min="9" max="9" width="15.8515625" style="39" customWidth="1"/>
    <col min="10" max="10" width="5.57421875" style="39" customWidth="1"/>
    <col min="11" max="11" width="9.28125" style="39" customWidth="1"/>
    <col min="12" max="12" width="5.57421875" style="39" customWidth="1"/>
    <col min="13" max="13" width="9.28125" style="39" customWidth="1"/>
    <col min="14" max="14" width="9.00390625" style="39" customWidth="1"/>
    <col min="15" max="16384" width="12.57421875" style="39" customWidth="1"/>
  </cols>
  <sheetData>
    <row r="1" s="377" customFormat="1" ht="15.75"/>
    <row r="2" s="377" customFormat="1" ht="15.75"/>
    <row r="3" spans="9:14" ht="16.5" thickBot="1">
      <c r="I3" s="40" t="s">
        <v>34</v>
      </c>
      <c r="J3" s="41"/>
      <c r="K3" s="41"/>
      <c r="L3" s="41"/>
      <c r="M3" s="41"/>
      <c r="N3" s="42"/>
    </row>
    <row r="4" spans="2:14" ht="16.5" thickBot="1">
      <c r="B4" s="43" t="s">
        <v>35</v>
      </c>
      <c r="C4" s="44"/>
      <c r="D4" s="45"/>
      <c r="I4" s="46"/>
      <c r="J4" s="46" t="s">
        <v>24</v>
      </c>
      <c r="K4" s="46"/>
      <c r="L4" s="46"/>
      <c r="M4" s="46"/>
      <c r="N4" s="47" t="s">
        <v>25</v>
      </c>
    </row>
    <row r="5" spans="2:14" ht="17.25" thickBot="1" thickTop="1">
      <c r="B5" s="48" t="s">
        <v>36</v>
      </c>
      <c r="C5" s="49" t="s">
        <v>37</v>
      </c>
      <c r="D5" s="50" t="s">
        <v>38</v>
      </c>
      <c r="I5" s="51"/>
      <c r="J5" s="46" t="s">
        <v>26</v>
      </c>
      <c r="K5" s="46"/>
      <c r="L5" s="46" t="s">
        <v>27</v>
      </c>
      <c r="M5" s="46"/>
      <c r="N5" s="52">
        <f>+(D14+E14)/2</f>
        <v>25</v>
      </c>
    </row>
    <row r="6" spans="2:14" ht="16.5" thickTop="1">
      <c r="B6" s="53" t="s">
        <v>39</v>
      </c>
      <c r="C6" s="47">
        <v>1.5</v>
      </c>
      <c r="D6" s="54">
        <v>2</v>
      </c>
      <c r="I6" s="51" t="s">
        <v>28</v>
      </c>
      <c r="J6" s="47">
        <v>0</v>
      </c>
      <c r="K6" s="47">
        <v>0.00775</v>
      </c>
      <c r="L6" s="47">
        <v>100</v>
      </c>
      <c r="M6" s="47">
        <v>0.01535</v>
      </c>
      <c r="N6" s="55">
        <f>K6+(N$5-J6)*(M6-K6)/(L6-J6)</f>
        <v>0.00965</v>
      </c>
    </row>
    <row r="7" spans="2:14" ht="16.5" thickBot="1">
      <c r="B7" s="56" t="s">
        <v>40</v>
      </c>
      <c r="C7" s="57">
        <v>2.323</v>
      </c>
      <c r="D7" s="58">
        <v>2.88</v>
      </c>
      <c r="I7" s="51" t="s">
        <v>29</v>
      </c>
      <c r="J7" s="47">
        <v>10</v>
      </c>
      <c r="K7" s="47">
        <v>0.41</v>
      </c>
      <c r="L7" s="47">
        <v>80</v>
      </c>
      <c r="M7" s="47">
        <v>0.535</v>
      </c>
      <c r="N7" s="55">
        <f>+K7+(N$5-J7)*(M7-K7)/(L7-J7)</f>
        <v>0.4367857142857143</v>
      </c>
    </row>
    <row r="8" spans="2:14" ht="15.75">
      <c r="B8" s="59" t="s">
        <v>41</v>
      </c>
      <c r="C8" s="49">
        <v>6</v>
      </c>
      <c r="D8" s="50" t="s">
        <v>42</v>
      </c>
      <c r="I8" s="51" t="s">
        <v>30</v>
      </c>
      <c r="J8" s="47">
        <v>20</v>
      </c>
      <c r="K8" s="47">
        <v>0.62</v>
      </c>
      <c r="L8" s="47">
        <v>80</v>
      </c>
      <c r="M8" s="47">
        <v>0.28</v>
      </c>
      <c r="N8" s="55">
        <f>+K8+(N$5-J8)*(M8-K8)/(L8-J8)</f>
        <v>0.5916666666666667</v>
      </c>
    </row>
    <row r="9" spans="2:4" ht="16.5" thickBot="1">
      <c r="B9" s="60" t="s">
        <v>43</v>
      </c>
      <c r="C9" s="61">
        <f>3.14*D6*0.0254*C8*2</f>
        <v>1.9141439999999998</v>
      </c>
      <c r="D9" s="58" t="s">
        <v>44</v>
      </c>
    </row>
    <row r="11" spans="9:14" ht="16.5" thickBot="1">
      <c r="I11" s="40" t="s">
        <v>34</v>
      </c>
      <c r="J11" s="41"/>
      <c r="K11" s="41"/>
      <c r="L11" s="41"/>
      <c r="M11" s="41"/>
      <c r="N11" s="42"/>
    </row>
    <row r="12" spans="2:14" ht="16.5" thickBot="1">
      <c r="B12" s="43" t="s">
        <v>45</v>
      </c>
      <c r="C12" s="44"/>
      <c r="D12" s="44"/>
      <c r="E12" s="45"/>
      <c r="F12" s="45"/>
      <c r="I12" s="46"/>
      <c r="J12" s="46" t="s">
        <v>31</v>
      </c>
      <c r="K12" s="46"/>
      <c r="L12" s="46"/>
      <c r="M12" s="46"/>
      <c r="N12" s="47" t="s">
        <v>25</v>
      </c>
    </row>
    <row r="13" spans="2:14" ht="17.25" thickBot="1" thickTop="1">
      <c r="B13" s="59"/>
      <c r="C13" s="49" t="s">
        <v>46</v>
      </c>
      <c r="D13" s="49" t="s">
        <v>47</v>
      </c>
      <c r="E13" s="49" t="s">
        <v>48</v>
      </c>
      <c r="F13" s="50" t="s">
        <v>49</v>
      </c>
      <c r="I13" s="51"/>
      <c r="J13" s="46" t="s">
        <v>26</v>
      </c>
      <c r="K13" s="46"/>
      <c r="L13" s="46" t="s">
        <v>27</v>
      </c>
      <c r="M13" s="46"/>
      <c r="N13" s="52">
        <f>+ABS(D15+E15)/2</f>
        <v>60</v>
      </c>
    </row>
    <row r="14" spans="2:14" ht="16.5" thickTop="1">
      <c r="B14" s="62" t="s">
        <v>24</v>
      </c>
      <c r="C14" s="47">
        <v>2000</v>
      </c>
      <c r="D14" s="47">
        <v>20</v>
      </c>
      <c r="E14" s="47">
        <v>30</v>
      </c>
      <c r="F14" s="54">
        <v>0.000205</v>
      </c>
      <c r="I14" s="51" t="s">
        <v>28</v>
      </c>
      <c r="J14" s="47">
        <v>30</v>
      </c>
      <c r="K14" s="47">
        <v>0.128</v>
      </c>
      <c r="L14" s="47">
        <v>70</v>
      </c>
      <c r="M14" s="47">
        <v>0.125</v>
      </c>
      <c r="N14" s="55">
        <f>K14+(N$13-J14)*(M14-K14)/(L14-J14)</f>
        <v>0.12575</v>
      </c>
    </row>
    <row r="15" spans="2:14" ht="16.5" thickBot="1">
      <c r="B15" s="56" t="s">
        <v>31</v>
      </c>
      <c r="C15" s="57">
        <v>1500</v>
      </c>
      <c r="D15" s="57">
        <v>70</v>
      </c>
      <c r="E15" s="57">
        <v>50</v>
      </c>
      <c r="F15" s="58">
        <v>0.000205</v>
      </c>
      <c r="I15" s="51" t="s">
        <v>29</v>
      </c>
      <c r="J15" s="47">
        <v>0</v>
      </c>
      <c r="K15" s="47">
        <v>0.415</v>
      </c>
      <c r="L15" s="47">
        <v>60</v>
      </c>
      <c r="M15" s="47">
        <v>0.445</v>
      </c>
      <c r="N15" s="55">
        <f>+K15+(N$13-J15)*(M15-K15)/(L15-J15)</f>
        <v>0.445</v>
      </c>
    </row>
    <row r="16" spans="2:14" ht="15.75">
      <c r="B16" s="63" t="s">
        <v>50</v>
      </c>
      <c r="I16" s="51" t="s">
        <v>30</v>
      </c>
      <c r="J16" s="47">
        <v>30</v>
      </c>
      <c r="K16" s="47">
        <v>0.52</v>
      </c>
      <c r="L16" s="47">
        <v>70</v>
      </c>
      <c r="M16" s="47">
        <v>0.34</v>
      </c>
      <c r="N16" s="55">
        <f>+K16+(N$13-J16)*(M16-K16)/(L16-J16)</f>
        <v>0.385</v>
      </c>
    </row>
    <row r="17" spans="9:14" ht="16.5" thickBot="1">
      <c r="I17" s="64"/>
      <c r="J17" s="65"/>
      <c r="K17" s="65"/>
      <c r="L17" s="65"/>
      <c r="M17" s="65"/>
      <c r="N17" s="66"/>
    </row>
    <row r="18" spans="2:4" ht="16.5" thickBot="1">
      <c r="B18" s="43" t="s">
        <v>51</v>
      </c>
      <c r="C18" s="44"/>
      <c r="D18" s="45"/>
    </row>
    <row r="19" spans="2:4" ht="16.5" thickBot="1">
      <c r="B19" s="59" t="s">
        <v>52</v>
      </c>
      <c r="C19" s="67">
        <f>3.14*C6^2/4*6.452/10000</f>
        <v>0.0011395845</v>
      </c>
      <c r="D19" s="68" t="s">
        <v>44</v>
      </c>
    </row>
    <row r="20" spans="2:7" ht="16.5" thickBot="1">
      <c r="B20" s="69" t="s">
        <v>53</v>
      </c>
      <c r="C20" s="70">
        <f>3.14*(C7^2-D6^2)/4*6.452/10000</f>
        <v>0.0007072155045779999</v>
      </c>
      <c r="D20" s="71" t="s">
        <v>44</v>
      </c>
      <c r="F20" s="72" t="s">
        <v>54</v>
      </c>
      <c r="G20" s="73">
        <f>+((D15-E14)-(E15-D14))/LN((D15-E14)/(E15-D14))</f>
        <v>34.76059496782208</v>
      </c>
    </row>
    <row r="21" spans="2:4" ht="15.75">
      <c r="B21" s="69" t="s">
        <v>55</v>
      </c>
      <c r="C21" s="70">
        <f>+(C7^2-D6^2)/D6*0.0254</f>
        <v>0.017733378299999995</v>
      </c>
      <c r="D21" s="74" t="s">
        <v>56</v>
      </c>
    </row>
    <row r="22" spans="2:4" ht="16.5" thickBot="1">
      <c r="B22" s="60" t="s">
        <v>57</v>
      </c>
      <c r="C22" s="61">
        <f>+C6*0.0254</f>
        <v>0.038099999999999995</v>
      </c>
      <c r="D22" s="75" t="s">
        <v>56</v>
      </c>
    </row>
    <row r="23" ht="16.5" thickBot="1"/>
    <row r="24" spans="2:5" ht="15" customHeight="1" thickBot="1">
      <c r="B24" s="43" t="s">
        <v>58</v>
      </c>
      <c r="C24" s="44"/>
      <c r="D24" s="44"/>
      <c r="E24" s="45"/>
    </row>
    <row r="25" spans="2:5" ht="15.75">
      <c r="B25" s="59"/>
      <c r="C25" s="49" t="s">
        <v>59</v>
      </c>
      <c r="D25" s="49" t="s">
        <v>60</v>
      </c>
      <c r="E25" s="50" t="s">
        <v>61</v>
      </c>
    </row>
    <row r="26" spans="2:5" ht="15.75">
      <c r="B26" s="69" t="s">
        <v>62</v>
      </c>
      <c r="C26" s="47">
        <f>+C14/3600/C19*C22/N8*1000</f>
        <v>31392.711893961303</v>
      </c>
      <c r="D26" s="47">
        <f>+N7*N8/N6*3600/1000</f>
        <v>96.4096965210955</v>
      </c>
      <c r="E26" s="54">
        <f>0.027*N6/C22*C26^0.8*D26^0.33</f>
        <v>122.23315046198931</v>
      </c>
    </row>
    <row r="27" spans="2:5" ht="15.75">
      <c r="B27" s="69" t="s">
        <v>63</v>
      </c>
      <c r="C27" s="47">
        <f>+C15/3600/C20*C21/N16*1000</f>
        <v>27137.368642101283</v>
      </c>
      <c r="D27" s="47">
        <f>+N15*N16/N14*3600/1000</f>
        <v>4.904731610337973</v>
      </c>
      <c r="E27" s="54">
        <f>0.027*N14/C21*C27^0.8*D27^0.33</f>
        <v>1139.823215215266</v>
      </c>
    </row>
    <row r="28" spans="2:5" ht="16.5" thickBot="1">
      <c r="B28" s="76" t="s">
        <v>64</v>
      </c>
      <c r="C28" s="77">
        <f>1/(1/E26+1/E27)</f>
        <v>110.39458011109568</v>
      </c>
      <c r="D28" s="78" t="s">
        <v>65</v>
      </c>
      <c r="E28" s="79">
        <f>1/(1/C28+F$14+F$15)</f>
        <v>105.6142895979957</v>
      </c>
    </row>
    <row r="29" spans="2:5" ht="15.75">
      <c r="B29" s="80" t="s">
        <v>66</v>
      </c>
      <c r="C29" s="81">
        <f>+C$14*N$7*ABS(D$14-E$14)/E28/G$20</f>
        <v>2.379515498922228</v>
      </c>
      <c r="D29" s="82" t="s">
        <v>67</v>
      </c>
      <c r="E29" s="68">
        <f>+INT(C29/$C$9)+1</f>
        <v>2</v>
      </c>
    </row>
    <row r="30" spans="2:5" ht="16.5" thickBot="1">
      <c r="B30" s="83" t="s">
        <v>68</v>
      </c>
      <c r="C30" s="84">
        <f>+E29*C$9</f>
        <v>3.8282879999999997</v>
      </c>
      <c r="D30" s="85"/>
      <c r="E30" s="86"/>
    </row>
    <row r="31" spans="1:5" ht="15.75">
      <c r="A31" s="87"/>
      <c r="B31" s="88"/>
      <c r="C31" s="89"/>
      <c r="D31" s="89"/>
      <c r="E31" s="89"/>
    </row>
    <row r="32" spans="2:5" ht="16.5" thickBot="1">
      <c r="B32" s="88"/>
      <c r="C32" s="89"/>
      <c r="D32" s="89"/>
      <c r="E32" s="89"/>
    </row>
    <row r="33" spans="2:5" ht="16.5" thickBot="1">
      <c r="B33" s="43" t="s">
        <v>69</v>
      </c>
      <c r="C33" s="44"/>
      <c r="D33" s="44"/>
      <c r="E33" s="45"/>
    </row>
    <row r="34" spans="2:5" ht="15.75">
      <c r="B34" s="59"/>
      <c r="C34" s="49" t="s">
        <v>59</v>
      </c>
      <c r="D34" s="49" t="s">
        <v>60</v>
      </c>
      <c r="E34" s="50" t="s">
        <v>61</v>
      </c>
    </row>
    <row r="35" spans="2:5" ht="15.75">
      <c r="B35" s="69" t="s">
        <v>70</v>
      </c>
      <c r="C35" s="47">
        <f>+C15/3600/C19*C22/N16*1000</f>
        <v>36183.15818946838</v>
      </c>
      <c r="D35" s="47">
        <f>+N15*N16/1000/N14*3600</f>
        <v>4.904731610337972</v>
      </c>
      <c r="E35" s="54">
        <f>0.027*N14/C22*C26^0.8*D26^0.33</f>
        <v>1592.830950320741</v>
      </c>
    </row>
    <row r="36" spans="2:5" ht="15.75">
      <c r="B36" s="69" t="s">
        <v>71</v>
      </c>
      <c r="C36" s="47">
        <f>+C14/3600/C20*C21/N8*1000</f>
        <v>23544.533920470974</v>
      </c>
      <c r="D36" s="47">
        <f>+N7*N8/1000/N6*3600</f>
        <v>96.40969652109548</v>
      </c>
      <c r="E36" s="54">
        <f>0.027*N6/C21*C36^0.8*D36^0.33</f>
        <v>208.62748038295595</v>
      </c>
    </row>
    <row r="37" spans="2:5" ht="16.5" thickBot="1">
      <c r="B37" s="76" t="s">
        <v>64</v>
      </c>
      <c r="C37" s="77">
        <f>1/(1/E35+1/E36)</f>
        <v>184.46626476504215</v>
      </c>
      <c r="D37" s="78" t="s">
        <v>65</v>
      </c>
      <c r="E37" s="79">
        <f>1/(1/C37+F$14+F$15)</f>
        <v>171.49583440677176</v>
      </c>
    </row>
    <row r="38" spans="2:5" ht="15.75">
      <c r="B38" s="80" t="s">
        <v>66</v>
      </c>
      <c r="C38" s="81">
        <f>+C$14*N$7*ABS(D$14-E$14)/E37/G$20</f>
        <v>1.4654049171247279</v>
      </c>
      <c r="D38" s="82" t="s">
        <v>67</v>
      </c>
      <c r="E38" s="68">
        <f>+INT(C38/$C$9)+1</f>
        <v>1</v>
      </c>
    </row>
    <row r="39" spans="2:5" ht="16.5" thickBot="1">
      <c r="B39" s="83" t="s">
        <v>68</v>
      </c>
      <c r="C39" s="84">
        <f>+E38*C$9</f>
        <v>1.9141439999999998</v>
      </c>
      <c r="D39" s="85"/>
      <c r="E39" s="86"/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&amp;C&amp;F</oddHeader>
    <oddFooter>&amp;CPagina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45"/>
  <sheetViews>
    <sheetView showGridLines="0" workbookViewId="0" topLeftCell="A1">
      <pane ySplit="2" topLeftCell="BM3" activePane="bottomLeft" state="frozen"/>
      <selection pane="topLeft" activeCell="C1" sqref="C1"/>
      <selection pane="bottomLeft" activeCell="E4" sqref="E4"/>
    </sheetView>
  </sheetViews>
  <sheetFormatPr defaultColWidth="9.140625" defaultRowHeight="12.75"/>
  <cols>
    <col min="1" max="1" width="5.57421875" style="90" customWidth="1"/>
    <col min="2" max="2" width="20.28125" style="90" customWidth="1"/>
    <col min="3" max="3" width="13.57421875" style="90" customWidth="1"/>
    <col min="4" max="5" width="8.00390625" style="90" customWidth="1"/>
    <col min="6" max="6" width="10.7109375" style="90" customWidth="1"/>
    <col min="7" max="7" width="7.00390625" style="90" customWidth="1"/>
    <col min="8" max="8" width="5.8515625" style="90" customWidth="1"/>
    <col min="9" max="9" width="15.8515625" style="90" customWidth="1"/>
    <col min="10" max="10" width="5.57421875" style="90" customWidth="1"/>
    <col min="11" max="11" width="9.28125" style="90" customWidth="1"/>
    <col min="12" max="12" width="5.57421875" style="90" customWidth="1"/>
    <col min="13" max="13" width="9.28125" style="90" customWidth="1"/>
    <col min="14" max="14" width="9.00390625" style="90" customWidth="1"/>
    <col min="15" max="16384" width="12.57421875" style="90" customWidth="1"/>
  </cols>
  <sheetData>
    <row r="1" s="375" customFormat="1" ht="15.75"/>
    <row r="2" s="375" customFormat="1" ht="15.75"/>
    <row r="3" spans="9:14" ht="16.5" thickBot="1">
      <c r="I3" s="91" t="s">
        <v>34</v>
      </c>
      <c r="J3" s="92"/>
      <c r="K3" s="92"/>
      <c r="L3" s="92"/>
      <c r="M3" s="92"/>
      <c r="N3" s="93"/>
    </row>
    <row r="4" spans="2:14" ht="16.5" thickBot="1">
      <c r="B4" s="94" t="s">
        <v>35</v>
      </c>
      <c r="C4" s="95"/>
      <c r="D4" s="96"/>
      <c r="I4" s="97"/>
      <c r="J4" s="97" t="s">
        <v>24</v>
      </c>
      <c r="K4" s="97"/>
      <c r="L4" s="97"/>
      <c r="M4" s="97"/>
      <c r="N4" s="98" t="s">
        <v>25</v>
      </c>
    </row>
    <row r="5" spans="2:14" ht="17.25" thickBot="1" thickTop="1">
      <c r="B5" s="99" t="s">
        <v>36</v>
      </c>
      <c r="C5" s="100" t="s">
        <v>37</v>
      </c>
      <c r="D5" s="101" t="s">
        <v>38</v>
      </c>
      <c r="I5" s="102"/>
      <c r="J5" s="97" t="s">
        <v>72</v>
      </c>
      <c r="K5" s="97"/>
      <c r="L5" s="97" t="s">
        <v>73</v>
      </c>
      <c r="M5" s="97"/>
      <c r="N5" s="103">
        <f>+(D14+E14)/2</f>
        <v>25</v>
      </c>
    </row>
    <row r="6" spans="2:14" ht="16.5" thickTop="1">
      <c r="B6" s="104" t="s">
        <v>39</v>
      </c>
      <c r="C6" s="98">
        <v>1.5</v>
      </c>
      <c r="D6" s="105">
        <v>2</v>
      </c>
      <c r="I6" s="102" t="s">
        <v>28</v>
      </c>
      <c r="J6" s="98">
        <v>0</v>
      </c>
      <c r="K6" s="98">
        <v>0.00775</v>
      </c>
      <c r="L6" s="98">
        <v>100</v>
      </c>
      <c r="M6" s="98">
        <v>0.01535</v>
      </c>
      <c r="N6" s="106">
        <f>K6+(N$5-J6)*(M6-K6)/(L6-J6)</f>
        <v>0.00965</v>
      </c>
    </row>
    <row r="7" spans="2:14" ht="16.5" thickBot="1">
      <c r="B7" s="107" t="s">
        <v>40</v>
      </c>
      <c r="C7" s="108">
        <v>2.323</v>
      </c>
      <c r="D7" s="109">
        <v>2.88</v>
      </c>
      <c r="I7" s="102" t="s">
        <v>29</v>
      </c>
      <c r="J7" s="98">
        <v>10</v>
      </c>
      <c r="K7" s="98">
        <v>0.41</v>
      </c>
      <c r="L7" s="98">
        <v>80</v>
      </c>
      <c r="M7" s="98">
        <v>0.535</v>
      </c>
      <c r="N7" s="106">
        <f>+K7+(N$5-J7)*(M7-K7)/(L7-J7)</f>
        <v>0.4367857142857143</v>
      </c>
    </row>
    <row r="8" spans="2:14" ht="15.75">
      <c r="B8" s="110" t="s">
        <v>41</v>
      </c>
      <c r="C8" s="111">
        <v>6</v>
      </c>
      <c r="D8" s="112" t="s">
        <v>56</v>
      </c>
      <c r="I8" s="102" t="s">
        <v>30</v>
      </c>
      <c r="J8" s="98">
        <v>20</v>
      </c>
      <c r="K8" s="98">
        <v>0.62</v>
      </c>
      <c r="L8" s="98">
        <v>80</v>
      </c>
      <c r="M8" s="98">
        <v>0.28</v>
      </c>
      <c r="N8" s="106">
        <f>+K8+(N$5-J8)*(M8-K8)/(L8-J8)</f>
        <v>0.5916666666666667</v>
      </c>
    </row>
    <row r="9" spans="2:14" ht="16.5" thickBot="1">
      <c r="B9" s="113" t="s">
        <v>43</v>
      </c>
      <c r="C9" s="114">
        <f>3.14*D6*0.0254*C8*2</f>
        <v>1.9141439999999998</v>
      </c>
      <c r="D9" s="115" t="s">
        <v>74</v>
      </c>
      <c r="I9" s="116" t="s">
        <v>75</v>
      </c>
      <c r="J9" s="117"/>
      <c r="K9" s="117"/>
      <c r="L9" s="117"/>
      <c r="M9" s="117"/>
      <c r="N9" s="98">
        <v>879</v>
      </c>
    </row>
    <row r="11" spans="9:14" ht="16.5" thickBot="1">
      <c r="I11" s="91" t="s">
        <v>34</v>
      </c>
      <c r="J11" s="92"/>
      <c r="K11" s="92"/>
      <c r="L11" s="92"/>
      <c r="M11" s="92"/>
      <c r="N11" s="93"/>
    </row>
    <row r="12" spans="2:14" ht="16.5" thickBot="1">
      <c r="B12" s="94" t="s">
        <v>45</v>
      </c>
      <c r="C12" s="95"/>
      <c r="D12" s="95"/>
      <c r="E12" s="96"/>
      <c r="F12" s="96"/>
      <c r="I12" s="97"/>
      <c r="J12" s="97" t="s">
        <v>31</v>
      </c>
      <c r="K12" s="97"/>
      <c r="L12" s="97"/>
      <c r="M12" s="97"/>
      <c r="N12" s="98" t="s">
        <v>25</v>
      </c>
    </row>
    <row r="13" spans="2:14" ht="17.25" thickBot="1" thickTop="1">
      <c r="B13" s="110"/>
      <c r="C13" s="100" t="s">
        <v>76</v>
      </c>
      <c r="D13" s="100" t="s">
        <v>77</v>
      </c>
      <c r="E13" s="100" t="s">
        <v>78</v>
      </c>
      <c r="F13" s="101" t="s">
        <v>79</v>
      </c>
      <c r="I13" s="102"/>
      <c r="J13" s="97" t="s">
        <v>72</v>
      </c>
      <c r="K13" s="97"/>
      <c r="L13" s="97" t="s">
        <v>73</v>
      </c>
      <c r="M13" s="97"/>
      <c r="N13" s="103">
        <f>+ABS(D15+E15)/2</f>
        <v>60</v>
      </c>
    </row>
    <row r="14" spans="2:14" ht="16.5" thickTop="1">
      <c r="B14" s="104" t="s">
        <v>24</v>
      </c>
      <c r="C14" s="98">
        <v>2000</v>
      </c>
      <c r="D14" s="98">
        <v>20</v>
      </c>
      <c r="E14" s="98">
        <v>30</v>
      </c>
      <c r="F14" s="105">
        <v>0.000205</v>
      </c>
      <c r="I14" s="102" t="s">
        <v>28</v>
      </c>
      <c r="J14" s="98">
        <v>30</v>
      </c>
      <c r="K14" s="98">
        <v>0.128</v>
      </c>
      <c r="L14" s="98">
        <v>70</v>
      </c>
      <c r="M14" s="98">
        <v>0.125</v>
      </c>
      <c r="N14" s="106">
        <f>K14+(N$13-J14)*(M14-K14)/(L14-J14)</f>
        <v>0.12575</v>
      </c>
    </row>
    <row r="15" spans="2:14" ht="16.5" thickBot="1">
      <c r="B15" s="107" t="s">
        <v>31</v>
      </c>
      <c r="C15" s="108">
        <v>1500</v>
      </c>
      <c r="D15" s="108">
        <v>70</v>
      </c>
      <c r="E15" s="108">
        <v>50</v>
      </c>
      <c r="F15" s="109">
        <v>0.000205</v>
      </c>
      <c r="I15" s="102" t="s">
        <v>29</v>
      </c>
      <c r="J15" s="98">
        <v>0</v>
      </c>
      <c r="K15" s="98">
        <v>0.415</v>
      </c>
      <c r="L15" s="98">
        <v>60</v>
      </c>
      <c r="M15" s="98">
        <v>0.445</v>
      </c>
      <c r="N15" s="106">
        <f>+K15+(N$13-J15)*(M15-K15)/(L15-J15)</f>
        <v>0.445</v>
      </c>
    </row>
    <row r="16" spans="2:14" ht="15.75">
      <c r="B16" s="394" t="s">
        <v>50</v>
      </c>
      <c r="C16" s="394"/>
      <c r="D16" s="394"/>
      <c r="E16" s="394"/>
      <c r="I16" s="102" t="s">
        <v>30</v>
      </c>
      <c r="J16" s="98">
        <v>30</v>
      </c>
      <c r="K16" s="98">
        <v>0.52</v>
      </c>
      <c r="L16" s="98">
        <v>70</v>
      </c>
      <c r="M16" s="98">
        <v>0.34</v>
      </c>
      <c r="N16" s="106">
        <f>+K16+(N$13-J16)*(M16-K16)/(L16-J16)</f>
        <v>0.385</v>
      </c>
    </row>
    <row r="17" spans="9:14" ht="16.5" thickBot="1">
      <c r="I17" s="116" t="s">
        <v>75</v>
      </c>
      <c r="J17" s="117"/>
      <c r="K17" s="117"/>
      <c r="L17" s="117"/>
      <c r="M17" s="117"/>
      <c r="N17" s="98">
        <v>866</v>
      </c>
    </row>
    <row r="18" spans="2:4" ht="16.5" thickBot="1">
      <c r="B18" s="94" t="s">
        <v>51</v>
      </c>
      <c r="C18" s="95"/>
      <c r="D18" s="96"/>
    </row>
    <row r="19" spans="2:4" ht="16.5" thickBot="1">
      <c r="B19" s="110" t="s">
        <v>52</v>
      </c>
      <c r="C19" s="118">
        <f>3.14*C6^2/4*6.452/10000</f>
        <v>0.0011395845</v>
      </c>
      <c r="D19" s="119" t="s">
        <v>74</v>
      </c>
    </row>
    <row r="20" spans="2:7" ht="16.5" thickBot="1">
      <c r="B20" s="120" t="s">
        <v>53</v>
      </c>
      <c r="C20" s="116">
        <f>3.14*(C7^2-D6^2)/4*6.452/10000</f>
        <v>0.0007072155045779999</v>
      </c>
      <c r="D20" s="121" t="s">
        <v>74</v>
      </c>
      <c r="F20" s="122" t="s">
        <v>80</v>
      </c>
      <c r="G20" s="123">
        <f>+((D15-E14)-(E15-D14))/LN((D15-E14)/(E15-D14))</f>
        <v>34.76059496782208</v>
      </c>
    </row>
    <row r="21" spans="2:4" ht="15.75">
      <c r="B21" s="120" t="s">
        <v>55</v>
      </c>
      <c r="C21" s="116">
        <f>+(C7^2-D6^2)/D6*0.0254</f>
        <v>0.017733378299999995</v>
      </c>
      <c r="D21" s="124" t="s">
        <v>56</v>
      </c>
    </row>
    <row r="22" spans="2:4" ht="16.5" thickBot="1">
      <c r="B22" s="113" t="s">
        <v>57</v>
      </c>
      <c r="C22" s="125">
        <f>+C6*0.0254</f>
        <v>0.038099999999999995</v>
      </c>
      <c r="D22" s="126" t="s">
        <v>56</v>
      </c>
    </row>
    <row r="23" ht="16.5" thickBot="1"/>
    <row r="24" spans="2:5" ht="15" customHeight="1" thickBot="1">
      <c r="B24" s="94" t="s">
        <v>58</v>
      </c>
      <c r="C24" s="95"/>
      <c r="D24" s="95"/>
      <c r="E24" s="96"/>
    </row>
    <row r="25" spans="2:9" ht="15.75">
      <c r="B25" s="110"/>
      <c r="C25" s="100" t="s">
        <v>59</v>
      </c>
      <c r="D25" s="100" t="s">
        <v>60</v>
      </c>
      <c r="E25" s="101" t="s">
        <v>61</v>
      </c>
      <c r="G25" s="127" t="s">
        <v>81</v>
      </c>
      <c r="H25" s="100" t="s">
        <v>82</v>
      </c>
      <c r="I25" s="128" t="s">
        <v>83</v>
      </c>
    </row>
    <row r="26" spans="2:9" ht="15.75">
      <c r="B26" s="120" t="s">
        <v>62</v>
      </c>
      <c r="C26" s="98">
        <f>+C14/3600/C19*C22/N8*1000</f>
        <v>31392.711893961303</v>
      </c>
      <c r="D26" s="98">
        <f>+N7*N8/N6*3600/1000</f>
        <v>96.4096965210955</v>
      </c>
      <c r="E26" s="105">
        <f>0.027*N6/C22*C26^0.8*D26^0.33</f>
        <v>122.23315046198931</v>
      </c>
      <c r="G26" s="129">
        <f>C14/6000/N9/C19</f>
        <v>0.3327693639681295</v>
      </c>
      <c r="H26" s="98">
        <f>0.014+1.056/C26^0.42</f>
        <v>0.02764569964409881</v>
      </c>
      <c r="I26" s="105">
        <f>H26*12*E29/C22*G26^2/19.6</f>
        <v>0.09838852577465669</v>
      </c>
    </row>
    <row r="27" spans="2:9" ht="16.5" thickBot="1">
      <c r="B27" s="120" t="s">
        <v>63</v>
      </c>
      <c r="C27" s="98">
        <f>+C15/3600/C20*C21/N16*1000</f>
        <v>27137.368642101283</v>
      </c>
      <c r="D27" s="98">
        <f>+N15*N16/N14*3600/1000</f>
        <v>4.904731610337973</v>
      </c>
      <c r="E27" s="105">
        <f>0.027*N14/C21*C27^0.8*D27^0.33</f>
        <v>1139.823215215266</v>
      </c>
      <c r="G27" s="130">
        <f>C15/6000/N17/C20</f>
        <v>0.40819750260371057</v>
      </c>
      <c r="H27" s="108">
        <f>0.014+1.056/C27^0.42</f>
        <v>0.028506594444319775</v>
      </c>
      <c r="I27" s="109">
        <f>H27*12*E29/C21*G27^2/19.6</f>
        <v>0.327981777629406</v>
      </c>
    </row>
    <row r="28" spans="2:5" ht="16.5" thickBot="1">
      <c r="B28" s="131" t="s">
        <v>84</v>
      </c>
      <c r="C28" s="132">
        <f>1/(1/E26+1/E27)</f>
        <v>110.39458011109568</v>
      </c>
      <c r="D28" s="133" t="s">
        <v>85</v>
      </c>
      <c r="E28" s="134">
        <f>1/(1/C28+F$14+F$15)</f>
        <v>105.6142895979957</v>
      </c>
    </row>
    <row r="29" spans="2:5" ht="15.75">
      <c r="B29" s="135" t="s">
        <v>66</v>
      </c>
      <c r="C29" s="136">
        <f>+C$14*N$7*ABS(D$14-E$14)/E28/G$20</f>
        <v>2.379515498922228</v>
      </c>
      <c r="D29" s="137" t="s">
        <v>67</v>
      </c>
      <c r="E29" s="119">
        <f>+INT(C29/$C$9)+1</f>
        <v>2</v>
      </c>
    </row>
    <row r="30" spans="2:5" ht="16.5" thickBot="1">
      <c r="B30" s="138" t="s">
        <v>68</v>
      </c>
      <c r="C30" s="139">
        <f>+E29*C$9</f>
        <v>3.8282879999999997</v>
      </c>
      <c r="D30" s="139" t="s">
        <v>74</v>
      </c>
      <c r="E30" s="140"/>
    </row>
    <row r="31" spans="2:5" ht="15.75">
      <c r="B31" s="141"/>
      <c r="C31" s="142"/>
      <c r="D31" s="142"/>
      <c r="E31" s="142"/>
    </row>
    <row r="32" spans="2:5" ht="16.5" thickBot="1">
      <c r="B32" s="141"/>
      <c r="C32" s="142"/>
      <c r="D32" s="142"/>
      <c r="E32" s="142"/>
    </row>
    <row r="33" spans="2:5" ht="16.5" thickBot="1">
      <c r="B33" s="94" t="s">
        <v>69</v>
      </c>
      <c r="C33" s="95"/>
      <c r="D33" s="95"/>
      <c r="E33" s="96"/>
    </row>
    <row r="34" spans="2:9" ht="15.75">
      <c r="B34" s="110"/>
      <c r="C34" s="100" t="s">
        <v>59</v>
      </c>
      <c r="D34" s="100" t="s">
        <v>60</v>
      </c>
      <c r="E34" s="101" t="s">
        <v>61</v>
      </c>
      <c r="G34" s="127" t="s">
        <v>81</v>
      </c>
      <c r="H34" s="100" t="s">
        <v>82</v>
      </c>
      <c r="I34" s="128" t="s">
        <v>83</v>
      </c>
    </row>
    <row r="35" spans="2:9" ht="15.75">
      <c r="B35" s="120" t="s">
        <v>70</v>
      </c>
      <c r="C35" s="98">
        <f>+C15/3600/C19*C22/N16*1000</f>
        <v>36183.15818946838</v>
      </c>
      <c r="D35" s="98">
        <f>+N15*N16/1000/N14*3600</f>
        <v>4.904731610337972</v>
      </c>
      <c r="E35" s="105">
        <f>0.027*N14/C22*C26^0.8*D26^0.33</f>
        <v>1592.830950320741</v>
      </c>
      <c r="G35" s="129">
        <f>C15/6000/N17/C19</f>
        <v>0.2533235602725051</v>
      </c>
      <c r="H35" s="98">
        <f>0.014+1.056/C35^0.42</f>
        <v>0.026855565942996602</v>
      </c>
      <c r="I35" s="105">
        <f>H35*12*E38/C22*G35^2/19.6</f>
        <v>0.027693999123748064</v>
      </c>
    </row>
    <row r="36" spans="2:9" ht="16.5" thickBot="1">
      <c r="B36" s="120" t="s">
        <v>71</v>
      </c>
      <c r="C36" s="98">
        <f>+C14/3600/C20*C21/N8*1000</f>
        <v>23544.533920470974</v>
      </c>
      <c r="D36" s="98">
        <f>+N7*N8/1000/N6*3600</f>
        <v>96.40969652109548</v>
      </c>
      <c r="E36" s="105">
        <f>0.027*N6/C21*C36^0.8*D36^0.33</f>
        <v>208.62748038295595</v>
      </c>
      <c r="G36" s="130">
        <f>C14/6000/N9/C20</f>
        <v>0.5362139359193224</v>
      </c>
      <c r="H36" s="108">
        <f>0.014+1.056/C36^0.42</f>
        <v>0.029398204289386422</v>
      </c>
      <c r="I36" s="109">
        <f>H36*12*E38/C21*G36^2/19.6</f>
        <v>0.29183050934574467</v>
      </c>
    </row>
    <row r="37" spans="2:5" ht="16.5" thickBot="1">
      <c r="B37" s="131" t="s">
        <v>84</v>
      </c>
      <c r="C37" s="132">
        <f>1/(1/E35+1/E36)</f>
        <v>184.46626476504215</v>
      </c>
      <c r="D37" s="133" t="s">
        <v>85</v>
      </c>
      <c r="E37" s="134">
        <f>1/(1/C37+F$14+F$15)</f>
        <v>171.49583440677176</v>
      </c>
    </row>
    <row r="38" spans="2:5" ht="15.75">
      <c r="B38" s="135" t="s">
        <v>66</v>
      </c>
      <c r="C38" s="136">
        <f>+C$14*N$7*ABS(D$14-E$14)/E37/G$20</f>
        <v>1.4654049171247279</v>
      </c>
      <c r="D38" s="137" t="s">
        <v>67</v>
      </c>
      <c r="E38" s="119">
        <f>+INT(C38/$C$9)+1</f>
        <v>1</v>
      </c>
    </row>
    <row r="39" spans="2:5" ht="16.5" thickBot="1">
      <c r="B39" s="138" t="s">
        <v>68</v>
      </c>
      <c r="C39" s="139">
        <f>+E38*C$9</f>
        <v>1.9141439999999998</v>
      </c>
      <c r="D39" s="139" t="s">
        <v>74</v>
      </c>
      <c r="E39" s="140"/>
    </row>
    <row r="45" ht="16.5" thickBot="1">
      <c r="Q45" s="143"/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&amp;C&amp;F</oddHeader>
    <oddFooter>&amp;CPagina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N39"/>
  <sheetViews>
    <sheetView showGridLines="0" workbookViewId="0" topLeftCell="A1">
      <pane ySplit="2" topLeftCell="BM3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7.00390625" style="144" customWidth="1"/>
    <col min="2" max="2" width="23.421875" style="144" customWidth="1"/>
    <col min="3" max="5" width="8.00390625" style="144" customWidth="1"/>
    <col min="6" max="6" width="10.7109375" style="144" customWidth="1"/>
    <col min="7" max="7" width="7.00390625" style="144" customWidth="1"/>
    <col min="8" max="8" width="5.8515625" style="144" customWidth="1"/>
    <col min="9" max="9" width="15.8515625" style="144" customWidth="1"/>
    <col min="10" max="10" width="5.57421875" style="144" customWidth="1"/>
    <col min="11" max="11" width="9.28125" style="144" customWidth="1"/>
    <col min="12" max="12" width="5.57421875" style="144" customWidth="1"/>
    <col min="13" max="13" width="9.28125" style="144" customWidth="1"/>
    <col min="14" max="14" width="13.57421875" style="144" customWidth="1"/>
    <col min="15" max="16384" width="12.57421875" style="144" customWidth="1"/>
  </cols>
  <sheetData>
    <row r="1" s="378" customFormat="1" ht="15.75"/>
    <row r="2" s="378" customFormat="1" ht="16.5" thickBot="1"/>
    <row r="3" spans="9:14" ht="16.5" thickBot="1">
      <c r="I3" s="145" t="s">
        <v>34</v>
      </c>
      <c r="J3" s="146"/>
      <c r="K3" s="146"/>
      <c r="L3" s="146"/>
      <c r="M3" s="146"/>
      <c r="N3" s="147"/>
    </row>
    <row r="4" spans="2:14" ht="16.5" thickBot="1">
      <c r="B4" s="148" t="s">
        <v>35</v>
      </c>
      <c r="C4" s="149"/>
      <c r="D4" s="150"/>
      <c r="I4" s="151"/>
      <c r="J4" s="152" t="s">
        <v>32</v>
      </c>
      <c r="K4" s="152"/>
      <c r="L4" s="152"/>
      <c r="M4" s="152"/>
      <c r="N4" s="153" t="s">
        <v>25</v>
      </c>
    </row>
    <row r="5" spans="2:14" ht="17.25" thickBot="1" thickTop="1">
      <c r="B5" s="154" t="s">
        <v>36</v>
      </c>
      <c r="C5" s="155" t="s">
        <v>37</v>
      </c>
      <c r="D5" s="156" t="s">
        <v>38</v>
      </c>
      <c r="I5" s="157"/>
      <c r="J5" s="152" t="s">
        <v>26</v>
      </c>
      <c r="K5" s="152"/>
      <c r="L5" s="152" t="s">
        <v>27</v>
      </c>
      <c r="M5" s="152"/>
      <c r="N5" s="158">
        <f>+(D14+E14)/2</f>
        <v>25</v>
      </c>
    </row>
    <row r="6" spans="2:14" ht="16.5" thickTop="1">
      <c r="B6" s="159" t="s">
        <v>39</v>
      </c>
      <c r="C6" s="160">
        <v>1.049</v>
      </c>
      <c r="D6" s="153">
        <v>1.32</v>
      </c>
      <c r="I6" s="157" t="s">
        <v>28</v>
      </c>
      <c r="J6" s="160">
        <v>0</v>
      </c>
      <c r="K6" s="160">
        <v>0.492</v>
      </c>
      <c r="L6" s="160">
        <v>80</v>
      </c>
      <c r="M6" s="160">
        <v>0.593</v>
      </c>
      <c r="N6" s="161">
        <f>K6+(N$5-J6)*(M6-K6)/(L6-J6)</f>
        <v>0.5235624999999999</v>
      </c>
    </row>
    <row r="7" spans="2:14" ht="16.5" thickBot="1">
      <c r="B7" s="162" t="s">
        <v>40</v>
      </c>
      <c r="C7" s="163">
        <v>1.61</v>
      </c>
      <c r="D7" s="164">
        <v>1.9</v>
      </c>
      <c r="I7" s="157" t="s">
        <v>29</v>
      </c>
      <c r="J7" s="160">
        <v>0</v>
      </c>
      <c r="K7" s="160">
        <v>1</v>
      </c>
      <c r="L7" s="160">
        <v>100</v>
      </c>
      <c r="M7" s="160">
        <v>1.1</v>
      </c>
      <c r="N7" s="165">
        <f>+K7+(N$5-J7)*(M7-K7)/(L7-J7)</f>
        <v>1.025</v>
      </c>
    </row>
    <row r="8" spans="2:14" ht="16.5" thickBot="1">
      <c r="B8" s="166" t="s">
        <v>41</v>
      </c>
      <c r="C8" s="155">
        <v>6</v>
      </c>
      <c r="D8" s="156" t="s">
        <v>42</v>
      </c>
      <c r="I8" s="167" t="s">
        <v>30</v>
      </c>
      <c r="J8" s="163">
        <v>5</v>
      </c>
      <c r="K8" s="163">
        <v>1.4</v>
      </c>
      <c r="L8" s="163">
        <v>70</v>
      </c>
      <c r="M8" s="163">
        <v>0.67</v>
      </c>
      <c r="N8" s="168">
        <f>K8+(N$5-J8)*(M8-K8)/(L8-J8)</f>
        <v>1.1753846153846153</v>
      </c>
    </row>
    <row r="9" spans="2:4" ht="16.5" thickBot="1">
      <c r="B9" s="169" t="s">
        <v>43</v>
      </c>
      <c r="C9" s="170">
        <f>3.14*D6*0.0254*C8*2</f>
        <v>1.2633350399999999</v>
      </c>
      <c r="D9" s="164" t="s">
        <v>44</v>
      </c>
    </row>
    <row r="10" ht="16.5" thickBot="1"/>
    <row r="11" spans="9:14" ht="16.5" thickBot="1">
      <c r="I11" s="145" t="s">
        <v>34</v>
      </c>
      <c r="J11" s="146"/>
      <c r="K11" s="146"/>
      <c r="L11" s="146"/>
      <c r="M11" s="146"/>
      <c r="N11" s="147"/>
    </row>
    <row r="12" spans="2:14" ht="16.5" thickBot="1">
      <c r="B12" s="148" t="s">
        <v>45</v>
      </c>
      <c r="C12" s="149"/>
      <c r="D12" s="149"/>
      <c r="E12" s="150"/>
      <c r="F12" s="150"/>
      <c r="I12" s="151"/>
      <c r="J12" s="152" t="s">
        <v>33</v>
      </c>
      <c r="K12" s="152"/>
      <c r="L12" s="152"/>
      <c r="M12" s="152"/>
      <c r="N12" s="153" t="s">
        <v>25</v>
      </c>
    </row>
    <row r="13" spans="2:14" ht="17.25" thickBot="1" thickTop="1">
      <c r="B13" s="166"/>
      <c r="C13" s="155" t="s">
        <v>46</v>
      </c>
      <c r="D13" s="155" t="s">
        <v>47</v>
      </c>
      <c r="E13" s="155" t="s">
        <v>48</v>
      </c>
      <c r="F13" s="156" t="s">
        <v>49</v>
      </c>
      <c r="I13" s="157"/>
      <c r="J13" s="152" t="s">
        <v>26</v>
      </c>
      <c r="K13" s="152"/>
      <c r="L13" s="152" t="s">
        <v>27</v>
      </c>
      <c r="M13" s="152"/>
      <c r="N13" s="158">
        <f>+ABS(D15+E15)/2</f>
        <v>57.5</v>
      </c>
    </row>
    <row r="14" spans="2:14" ht="16.5" thickTop="1">
      <c r="B14" s="159" t="s">
        <v>32</v>
      </c>
      <c r="C14" s="160">
        <v>4000</v>
      </c>
      <c r="D14" s="160">
        <v>20</v>
      </c>
      <c r="E14" s="160">
        <v>30</v>
      </c>
      <c r="F14" s="153">
        <v>0.000102</v>
      </c>
      <c r="I14" s="157" t="s">
        <v>28</v>
      </c>
      <c r="J14" s="160">
        <v>30</v>
      </c>
      <c r="K14" s="160">
        <v>0.128</v>
      </c>
      <c r="L14" s="160">
        <v>60</v>
      </c>
      <c r="M14" s="160">
        <v>0.122</v>
      </c>
      <c r="N14" s="161">
        <f>K14+(N$13-J14)*(M14-K14)/(L14-J14)</f>
        <v>0.1225</v>
      </c>
    </row>
    <row r="15" spans="2:14" ht="16.5" thickBot="1">
      <c r="B15" s="162" t="s">
        <v>33</v>
      </c>
      <c r="C15" s="163">
        <v>2000</v>
      </c>
      <c r="D15" s="163">
        <v>80</v>
      </c>
      <c r="E15" s="163">
        <v>35</v>
      </c>
      <c r="F15" s="164">
        <v>0.000205</v>
      </c>
      <c r="I15" s="157" t="s">
        <v>29</v>
      </c>
      <c r="J15" s="160">
        <v>10</v>
      </c>
      <c r="K15" s="160">
        <v>0.41</v>
      </c>
      <c r="L15" s="160">
        <v>80</v>
      </c>
      <c r="M15" s="160">
        <v>0.495</v>
      </c>
      <c r="N15" s="165">
        <f>+K15+(N$13-J15)*(M15-K15)/(L15-J15)</f>
        <v>0.4676785714285714</v>
      </c>
    </row>
    <row r="16" spans="2:14" ht="16.5" thickBot="1">
      <c r="B16" s="395" t="s">
        <v>50</v>
      </c>
      <c r="C16" s="395"/>
      <c r="D16" s="395"/>
      <c r="E16" s="395"/>
      <c r="I16" s="167" t="s">
        <v>30</v>
      </c>
      <c r="J16" s="163">
        <v>10</v>
      </c>
      <c r="K16" s="163">
        <v>0.82</v>
      </c>
      <c r="L16" s="163">
        <v>70</v>
      </c>
      <c r="M16" s="163">
        <v>0.35</v>
      </c>
      <c r="N16" s="168">
        <f>K16+(N$13-J16)*(M16-K16)/(L16-J16)</f>
        <v>0.44791666666666663</v>
      </c>
    </row>
    <row r="17" spans="9:14" ht="16.5" thickBot="1">
      <c r="I17" s="171"/>
      <c r="J17" s="172"/>
      <c r="K17" s="172"/>
      <c r="L17" s="172"/>
      <c r="M17" s="172"/>
      <c r="N17" s="173"/>
    </row>
    <row r="18" spans="2:4" ht="16.5" thickBot="1">
      <c r="B18" s="148" t="s">
        <v>51</v>
      </c>
      <c r="C18" s="149"/>
      <c r="D18" s="150"/>
    </row>
    <row r="19" spans="2:4" ht="16.5" thickBot="1">
      <c r="B19" s="166" t="s">
        <v>52</v>
      </c>
      <c r="C19" s="174">
        <f>3.14*C6^2/4*0.0254^2</f>
        <v>0.0005572987466906</v>
      </c>
      <c r="D19" s="175" t="s">
        <v>44</v>
      </c>
    </row>
    <row r="20" spans="2:7" ht="16.5" thickBot="1">
      <c r="B20" s="176" t="s">
        <v>53</v>
      </c>
      <c r="C20" s="177">
        <f>3.14*(C7^2-D6^2)/4*0.0254^2</f>
        <v>0.00043033107482000013</v>
      </c>
      <c r="D20" s="178" t="s">
        <v>44</v>
      </c>
      <c r="F20" s="179" t="s">
        <v>86</v>
      </c>
      <c r="G20" s="180">
        <f>+((D15-E14)-(E15-D14))/LN((D15-E14)/(E15-D14))</f>
        <v>29.070424077888806</v>
      </c>
    </row>
    <row r="21" spans="2:4" ht="15.75">
      <c r="B21" s="176" t="s">
        <v>55</v>
      </c>
      <c r="C21" s="177">
        <f>+(C7^2-D6^2)/D6*0.0254</f>
        <v>0.01635028787878788</v>
      </c>
      <c r="D21" s="181" t="s">
        <v>56</v>
      </c>
    </row>
    <row r="22" spans="2:4" ht="16.5" thickBot="1">
      <c r="B22" s="169" t="s">
        <v>57</v>
      </c>
      <c r="C22" s="170">
        <f>+C6*0.0254</f>
        <v>0.026644599999999997</v>
      </c>
      <c r="D22" s="182" t="s">
        <v>56</v>
      </c>
    </row>
    <row r="23" ht="16.5" thickBot="1"/>
    <row r="24" spans="2:5" ht="15" customHeight="1" thickBot="1">
      <c r="B24" s="148" t="s">
        <v>58</v>
      </c>
      <c r="C24" s="149"/>
      <c r="D24" s="149"/>
      <c r="E24" s="150"/>
    </row>
    <row r="25" spans="2:5" ht="15.75">
      <c r="B25" s="166"/>
      <c r="C25" s="155" t="s">
        <v>59</v>
      </c>
      <c r="D25" s="155" t="s">
        <v>60</v>
      </c>
      <c r="E25" s="156" t="s">
        <v>61</v>
      </c>
    </row>
    <row r="26" spans="2:5" ht="15.75">
      <c r="B26" s="176" t="s">
        <v>87</v>
      </c>
      <c r="C26" s="160">
        <f>C14/3600/C19*C22/N8*1000</f>
        <v>45195.85712560032</v>
      </c>
      <c r="D26" s="160">
        <f>+N7*N8/N6*3600/1000</f>
        <v>8.283956988457406</v>
      </c>
      <c r="E26" s="153">
        <f>0.027*N6/C22*C26^0.8*D26^0.33</f>
        <v>5647.034999485665</v>
      </c>
    </row>
    <row r="27" spans="2:5" ht="15.75">
      <c r="B27" s="176" t="s">
        <v>88</v>
      </c>
      <c r="C27" s="160">
        <f>+C15/3600/C20*C21*1000/N16</f>
        <v>47125.17411131906</v>
      </c>
      <c r="D27" s="160">
        <f>+N15*N16/N14*3600/1000</f>
        <v>6.156177113702624</v>
      </c>
      <c r="E27" s="153">
        <f>0.027*N14/C21*C27^0.8*D27^0.33</f>
        <v>2018.5963722042627</v>
      </c>
    </row>
    <row r="28" spans="2:5" ht="16.5" thickBot="1">
      <c r="B28" s="183" t="s">
        <v>64</v>
      </c>
      <c r="C28" s="184">
        <f>1/(1/E26+1/E27)</f>
        <v>1487.0378982441568</v>
      </c>
      <c r="D28" s="185" t="s">
        <v>65</v>
      </c>
      <c r="E28" s="186">
        <f>1/(1/C28+F$14+F$15)</f>
        <v>1020.9521669345999</v>
      </c>
    </row>
    <row r="29" spans="2:5" ht="15.75">
      <c r="B29" s="187" t="s">
        <v>66</v>
      </c>
      <c r="C29" s="188">
        <f>+C$14*N$7*ABS(D$14-E$14)/E28/G$20</f>
        <v>1.381424309470835</v>
      </c>
      <c r="D29" s="189" t="s">
        <v>67</v>
      </c>
      <c r="E29" s="175">
        <f>+INT(C29/$C$9)+1</f>
        <v>2</v>
      </c>
    </row>
    <row r="30" spans="2:5" ht="16.5" thickBot="1">
      <c r="B30" s="190" t="s">
        <v>68</v>
      </c>
      <c r="C30" s="191">
        <f>+E29*C$9</f>
        <v>2.5266700799999997</v>
      </c>
      <c r="D30" s="191" t="s">
        <v>44</v>
      </c>
      <c r="E30" s="192"/>
    </row>
    <row r="31" spans="2:5" ht="15.75">
      <c r="B31" s="193"/>
      <c r="C31" s="194"/>
      <c r="D31" s="194"/>
      <c r="E31" s="194"/>
    </row>
    <row r="32" spans="2:5" ht="16.5" thickBot="1">
      <c r="B32" s="193"/>
      <c r="C32" s="194"/>
      <c r="D32" s="194"/>
      <c r="E32" s="194"/>
    </row>
    <row r="33" spans="2:5" ht="16.5" thickBot="1">
      <c r="B33" s="148" t="s">
        <v>69</v>
      </c>
      <c r="C33" s="149"/>
      <c r="D33" s="149"/>
      <c r="E33" s="150"/>
    </row>
    <row r="34" spans="2:5" ht="15.75">
      <c r="B34" s="166"/>
      <c r="C34" s="155" t="s">
        <v>59</v>
      </c>
      <c r="D34" s="155" t="s">
        <v>60</v>
      </c>
      <c r="E34" s="156" t="s">
        <v>61</v>
      </c>
    </row>
    <row r="35" spans="2:5" ht="15.75">
      <c r="B35" s="176" t="s">
        <v>89</v>
      </c>
      <c r="C35" s="160">
        <f>+C15/3600/C19*C22/N16*1000</f>
        <v>59299.551789267076</v>
      </c>
      <c r="D35" s="160">
        <f>+N15*N16/1000/N14*3600</f>
        <v>6.156177113702624</v>
      </c>
      <c r="E35" s="153">
        <f>0.027*N14/C22*C26^0.8*D26^0.33</f>
        <v>1321.2592334955123</v>
      </c>
    </row>
    <row r="36" spans="2:5" ht="15.75">
      <c r="B36" s="176" t="s">
        <v>90</v>
      </c>
      <c r="C36" s="160">
        <f>+C14/3600/C20*C21/N8*1000</f>
        <v>35917.010700571765</v>
      </c>
      <c r="D36" s="160">
        <f>+N7*N8/1000/N6*3600</f>
        <v>8.283956988457406</v>
      </c>
      <c r="E36" s="153">
        <f>0.027*N6/C21*C36^0.8*D36^0.33</f>
        <v>7657.121285301804</v>
      </c>
    </row>
    <row r="37" spans="2:5" ht="16.5" thickBot="1">
      <c r="B37" s="183" t="s">
        <v>64</v>
      </c>
      <c r="C37" s="195">
        <f>1/(1/E35+1/E36)</f>
        <v>1126.822613389886</v>
      </c>
      <c r="D37" s="185" t="s">
        <v>65</v>
      </c>
      <c r="E37" s="186">
        <f>1/(1/C37+F$14+F$15)</f>
        <v>837.2046172879711</v>
      </c>
    </row>
    <row r="38" spans="2:5" ht="15.75">
      <c r="B38" s="187" t="s">
        <v>66</v>
      </c>
      <c r="C38" s="188">
        <f>+C$14*N$7*ABS(D$14-E$14)/E37/G$20</f>
        <v>1.6846158192236313</v>
      </c>
      <c r="D38" s="189" t="s">
        <v>67</v>
      </c>
      <c r="E38" s="175">
        <f>+INT(C38/$C$9)+1</f>
        <v>2</v>
      </c>
    </row>
    <row r="39" spans="2:5" ht="16.5" thickBot="1">
      <c r="B39" s="190" t="s">
        <v>68</v>
      </c>
      <c r="C39" s="191">
        <f>+E38*C$9</f>
        <v>2.5266700799999997</v>
      </c>
      <c r="D39" s="191" t="s">
        <v>44</v>
      </c>
      <c r="E39" s="192"/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&amp;CPagina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8"/>
  <sheetViews>
    <sheetView showGridLines="0" workbookViewId="0" topLeftCell="A1">
      <pane ySplit="2" topLeftCell="BM3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3.7109375" style="198" customWidth="1"/>
    <col min="2" max="2" width="28.00390625" style="198" customWidth="1"/>
    <col min="3" max="3" width="5.7109375" style="198" customWidth="1"/>
    <col min="4" max="4" width="8.00390625" style="198" customWidth="1"/>
    <col min="5" max="5" width="6.8515625" style="198" customWidth="1"/>
    <col min="6" max="6" width="6.7109375" style="198" customWidth="1"/>
    <col min="7" max="8" width="4.57421875" style="198" customWidth="1"/>
    <col min="9" max="9" width="2.57421875" style="198" customWidth="1"/>
    <col min="10" max="10" width="6.8515625" style="211" customWidth="1"/>
    <col min="11" max="16384" width="11.421875" style="198" customWidth="1"/>
  </cols>
  <sheetData>
    <row r="1" s="379" customFormat="1" ht="12.75">
      <c r="J1" s="380"/>
    </row>
    <row r="2" s="379" customFormat="1" ht="12.75">
      <c r="J2" s="380"/>
    </row>
    <row r="3" spans="2:12" ht="12.75">
      <c r="B3" s="196"/>
      <c r="C3" s="196"/>
      <c r="D3" s="196"/>
      <c r="E3" s="196"/>
      <c r="F3" s="196"/>
      <c r="G3" s="196"/>
      <c r="H3" s="196"/>
      <c r="I3" s="196"/>
      <c r="J3" s="197"/>
      <c r="K3" s="196"/>
      <c r="L3" s="196"/>
    </row>
    <row r="4" spans="2:12" ht="13.5" thickBot="1">
      <c r="B4" s="196"/>
      <c r="C4" s="196"/>
      <c r="D4" s="196"/>
      <c r="E4" s="196"/>
      <c r="F4" s="196"/>
      <c r="G4" s="196"/>
      <c r="H4" s="196"/>
      <c r="I4" s="196"/>
      <c r="J4" s="197"/>
      <c r="K4" s="196"/>
      <c r="L4" s="196"/>
    </row>
    <row r="5" spans="2:12" ht="13.5" thickBot="1">
      <c r="B5" s="199" t="s">
        <v>91</v>
      </c>
      <c r="C5" s="200"/>
      <c r="D5" s="200"/>
      <c r="E5" s="201"/>
      <c r="F5" s="196"/>
      <c r="G5" s="196"/>
      <c r="H5" s="196"/>
      <c r="I5" s="196"/>
      <c r="J5" s="196"/>
      <c r="K5" s="202">
        <f>+F10-K16</f>
        <v>150</v>
      </c>
      <c r="L5" s="196"/>
    </row>
    <row r="6" spans="2:12" ht="12.75">
      <c r="B6" s="200" t="s">
        <v>92</v>
      </c>
      <c r="C6" s="200">
        <v>200</v>
      </c>
      <c r="D6" s="200" t="s">
        <v>93</v>
      </c>
      <c r="E6" s="201"/>
      <c r="F6" s="196"/>
      <c r="G6" s="196"/>
      <c r="H6" s="196"/>
      <c r="I6" s="196"/>
      <c r="J6" s="196"/>
      <c r="K6" s="197"/>
      <c r="L6" s="196"/>
    </row>
    <row r="7" spans="2:12" ht="12.75">
      <c r="B7" s="200" t="s">
        <v>94</v>
      </c>
      <c r="C7" s="200">
        <v>5</v>
      </c>
      <c r="D7" s="200" t="s">
        <v>95</v>
      </c>
      <c r="E7" s="201"/>
      <c r="F7" s="196"/>
      <c r="G7" s="196"/>
      <c r="H7" s="196"/>
      <c r="I7" s="196"/>
      <c r="J7" s="196"/>
      <c r="K7" s="197"/>
      <c r="L7" s="196"/>
    </row>
    <row r="8" spans="2:12" ht="12.75">
      <c r="B8" s="200" t="s">
        <v>96</v>
      </c>
      <c r="C8" s="200">
        <v>30</v>
      </c>
      <c r="D8" s="200" t="s">
        <v>97</v>
      </c>
      <c r="E8" s="201"/>
      <c r="F8" s="196"/>
      <c r="G8" s="196"/>
      <c r="H8" s="196"/>
      <c r="I8" s="196"/>
      <c r="J8" s="196"/>
      <c r="K8" s="197"/>
      <c r="L8" s="196"/>
    </row>
    <row r="9" spans="2:12" ht="13.5" thickBot="1">
      <c r="B9" s="200" t="s">
        <v>98</v>
      </c>
      <c r="C9" s="200">
        <v>20</v>
      </c>
      <c r="D9" s="200" t="s">
        <v>95</v>
      </c>
      <c r="E9" s="201"/>
      <c r="F9" s="196"/>
      <c r="G9" s="196"/>
      <c r="H9" s="196"/>
      <c r="I9" s="196"/>
      <c r="J9" s="196"/>
      <c r="K9" s="197"/>
      <c r="L9" s="196"/>
    </row>
    <row r="10" spans="2:12" ht="13.5" thickBot="1">
      <c r="B10" s="200" t="s">
        <v>99</v>
      </c>
      <c r="C10" s="200">
        <v>80</v>
      </c>
      <c r="D10" s="200" t="s">
        <v>97</v>
      </c>
      <c r="E10" s="201"/>
      <c r="F10" s="203">
        <f>+C6</f>
        <v>200</v>
      </c>
      <c r="G10" s="196"/>
      <c r="H10" s="196"/>
      <c r="I10" s="196"/>
      <c r="J10" s="196"/>
      <c r="K10" s="197"/>
      <c r="L10" s="196"/>
    </row>
    <row r="11" spans="2:12" ht="13.5" thickBot="1">
      <c r="B11" s="200" t="s">
        <v>100</v>
      </c>
      <c r="C11" s="200">
        <v>505.2</v>
      </c>
      <c r="D11" s="200" t="s">
        <v>101</v>
      </c>
      <c r="E11" s="201"/>
      <c r="F11" s="204"/>
      <c r="G11" s="196"/>
      <c r="H11" s="196"/>
      <c r="I11" s="196"/>
      <c r="J11" s="196"/>
      <c r="K11" s="197"/>
      <c r="L11" s="196"/>
    </row>
    <row r="12" spans="2:12" ht="13.5" thickBot="1">
      <c r="B12" s="205"/>
      <c r="C12" s="205"/>
      <c r="D12" s="206"/>
      <c r="E12" s="201"/>
      <c r="F12" s="203">
        <f>+(K5*C13+K16+C10-C6*C8)/C11</f>
        <v>175.70269200316707</v>
      </c>
      <c r="G12" s="196"/>
      <c r="H12" s="196"/>
      <c r="I12" s="196"/>
      <c r="J12" s="196"/>
      <c r="K12" s="197"/>
      <c r="L12" s="196"/>
    </row>
    <row r="13" spans="2:12" ht="12.75">
      <c r="B13" s="200" t="s">
        <v>102</v>
      </c>
      <c r="C13" s="207">
        <f>606.5+0.305*C10</f>
        <v>630.9</v>
      </c>
      <c r="D13" s="208" t="s">
        <v>101</v>
      </c>
      <c r="E13" s="201"/>
      <c r="F13" s="209"/>
      <c r="G13" s="196"/>
      <c r="H13" s="196"/>
      <c r="I13" s="196"/>
      <c r="J13" s="196"/>
      <c r="K13" s="197"/>
      <c r="L13" s="196"/>
    </row>
    <row r="14" spans="2:12" ht="12.75">
      <c r="B14" s="196"/>
      <c r="C14" s="196"/>
      <c r="D14" s="196"/>
      <c r="E14" s="201"/>
      <c r="F14" s="196"/>
      <c r="G14" s="196"/>
      <c r="H14" s="196"/>
      <c r="I14" s="196"/>
      <c r="J14" s="196"/>
      <c r="K14" s="197"/>
      <c r="L14" s="196"/>
    </row>
    <row r="15" spans="2:12" ht="13.5" thickBot="1">
      <c r="B15" s="196"/>
      <c r="C15" s="196"/>
      <c r="D15" s="196"/>
      <c r="E15" s="201"/>
      <c r="F15" s="196"/>
      <c r="G15" s="196"/>
      <c r="H15" s="196"/>
      <c r="I15" s="196"/>
      <c r="J15" s="196"/>
      <c r="K15" s="197"/>
      <c r="L15" s="196"/>
    </row>
    <row r="16" spans="2:12" ht="13.5" thickBot="1">
      <c r="B16" s="196"/>
      <c r="C16" s="196"/>
      <c r="D16" s="196"/>
      <c r="E16" s="201"/>
      <c r="F16" s="196"/>
      <c r="G16" s="196"/>
      <c r="H16" s="196"/>
      <c r="I16" s="196"/>
      <c r="J16" s="196"/>
      <c r="K16" s="210">
        <f>+C6*C7/C9</f>
        <v>50</v>
      </c>
      <c r="L16" s="196"/>
    </row>
    <row r="17" spans="2:12" ht="12.75">
      <c r="B17" s="196"/>
      <c r="C17" s="196"/>
      <c r="D17" s="196"/>
      <c r="E17" s="196"/>
      <c r="F17" s="196"/>
      <c r="G17" s="196"/>
      <c r="H17" s="196"/>
      <c r="I17" s="196"/>
      <c r="J17" s="197"/>
      <c r="K17" s="196"/>
      <c r="L17" s="196"/>
    </row>
    <row r="18" spans="2:12" ht="12.75">
      <c r="B18" s="196"/>
      <c r="C18" s="196"/>
      <c r="D18" s="196"/>
      <c r="E18" s="196"/>
      <c r="F18" s="196"/>
      <c r="G18" s="196"/>
      <c r="H18" s="196"/>
      <c r="I18" s="196"/>
      <c r="J18" s="197"/>
      <c r="K18" s="196"/>
      <c r="L18" s="196"/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&amp;CPagina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0"/>
  <sheetViews>
    <sheetView showGridLines="0" workbookViewId="0" topLeftCell="A1">
      <pane ySplit="2" topLeftCell="BM3" activePane="bottomLeft" state="frozen"/>
      <selection pane="topLeft" activeCell="B1" sqref="B1"/>
      <selection pane="bottomLeft" activeCell="B3" sqref="B3"/>
    </sheetView>
  </sheetViews>
  <sheetFormatPr defaultColWidth="9.140625" defaultRowHeight="12.75"/>
  <cols>
    <col min="1" max="1" width="3.7109375" style="212" customWidth="1"/>
    <col min="2" max="2" width="28.28125" style="212" customWidth="1"/>
    <col min="3" max="3" width="5.7109375" style="212" customWidth="1"/>
    <col min="4" max="5" width="6.57421875" style="212" customWidth="1"/>
    <col min="6" max="6" width="6.8515625" style="212" customWidth="1"/>
    <col min="7" max="7" width="5.140625" style="212" customWidth="1"/>
    <col min="8" max="9" width="4.57421875" style="212" customWidth="1"/>
    <col min="10" max="10" width="2.57421875" style="212" customWidth="1"/>
    <col min="11" max="11" width="6.8515625" style="227" customWidth="1"/>
    <col min="12" max="12" width="12.421875" style="212" customWidth="1"/>
    <col min="13" max="13" width="6.421875" style="212" customWidth="1"/>
    <col min="14" max="16384" width="11.421875" style="212" customWidth="1"/>
  </cols>
  <sheetData>
    <row r="1" s="381" customFormat="1" ht="12.75">
      <c r="K1" s="382"/>
    </row>
    <row r="2" s="381" customFormat="1" ht="12.75">
      <c r="K2" s="382"/>
    </row>
    <row r="4" spans="2:13" ht="13.5" thickBot="1">
      <c r="B4" s="213"/>
      <c r="C4" s="213"/>
      <c r="D4" s="213"/>
      <c r="E4" s="213"/>
      <c r="F4" s="213"/>
      <c r="G4" s="213"/>
      <c r="H4" s="213"/>
      <c r="I4" s="213"/>
      <c r="J4" s="213"/>
      <c r="K4" s="214"/>
      <c r="L4" s="213"/>
      <c r="M4" s="213"/>
    </row>
    <row r="5" spans="2:13" ht="13.5" thickBot="1">
      <c r="B5" s="213"/>
      <c r="C5" s="213"/>
      <c r="D5" s="213"/>
      <c r="E5" s="213"/>
      <c r="F5" s="213"/>
      <c r="G5" s="213"/>
      <c r="H5" s="213"/>
      <c r="I5" s="215"/>
      <c r="J5" s="213"/>
      <c r="K5" s="214"/>
      <c r="L5" s="213"/>
      <c r="M5" s="216">
        <f>+K7*(C15-C12)/(C12-C17)</f>
        <v>1255.1625</v>
      </c>
    </row>
    <row r="6" spans="2:13" ht="13.5" thickBot="1">
      <c r="B6" s="213"/>
      <c r="C6" s="213"/>
      <c r="D6" s="213"/>
      <c r="E6" s="213"/>
      <c r="F6" s="213"/>
      <c r="G6" s="213"/>
      <c r="H6" s="213"/>
      <c r="I6" s="213"/>
      <c r="J6" s="213"/>
      <c r="K6" s="214"/>
      <c r="L6" s="213"/>
      <c r="M6" s="213"/>
    </row>
    <row r="7" spans="2:13" ht="13.5" thickBot="1">
      <c r="B7" s="217" t="s">
        <v>91</v>
      </c>
      <c r="C7" s="217"/>
      <c r="D7" s="218"/>
      <c r="E7" s="213"/>
      <c r="F7" s="213"/>
      <c r="G7" s="213"/>
      <c r="H7" s="213"/>
      <c r="I7" s="213"/>
      <c r="J7" s="213"/>
      <c r="K7" s="216">
        <f>+F12-K18</f>
        <v>112.5</v>
      </c>
      <c r="L7" s="213"/>
      <c r="M7" s="213"/>
    </row>
    <row r="8" spans="2:13" ht="12.75">
      <c r="B8" s="219" t="s">
        <v>92</v>
      </c>
      <c r="C8" s="220">
        <v>150</v>
      </c>
      <c r="D8" s="221" t="s">
        <v>93</v>
      </c>
      <c r="E8" s="213"/>
      <c r="F8" s="213"/>
      <c r="G8" s="213"/>
      <c r="H8" s="213"/>
      <c r="I8" s="213"/>
      <c r="J8" s="213"/>
      <c r="K8" s="214"/>
      <c r="L8" s="213"/>
      <c r="M8" s="213"/>
    </row>
    <row r="9" spans="2:13" ht="12.75">
      <c r="B9" s="219" t="s">
        <v>94</v>
      </c>
      <c r="C9" s="220">
        <v>5</v>
      </c>
      <c r="D9" s="221" t="s">
        <v>95</v>
      </c>
      <c r="E9" s="213"/>
      <c r="F9" s="213"/>
      <c r="G9" s="213"/>
      <c r="H9" s="213"/>
      <c r="I9" s="213"/>
      <c r="J9" s="213"/>
      <c r="K9" s="214"/>
      <c r="L9" s="213"/>
      <c r="M9" s="213"/>
    </row>
    <row r="10" spans="2:13" ht="12.75">
      <c r="B10" s="219" t="s">
        <v>96</v>
      </c>
      <c r="C10" s="220">
        <v>35</v>
      </c>
      <c r="D10" s="221" t="s">
        <v>97</v>
      </c>
      <c r="E10" s="213"/>
      <c r="F10" s="213"/>
      <c r="G10" s="213"/>
      <c r="H10" s="213"/>
      <c r="I10" s="213"/>
      <c r="J10" s="213"/>
      <c r="K10" s="214"/>
      <c r="L10" s="213"/>
      <c r="M10" s="213"/>
    </row>
    <row r="11" spans="2:13" ht="13.5" thickBot="1">
      <c r="B11" s="219" t="s">
        <v>98</v>
      </c>
      <c r="C11" s="220">
        <v>20</v>
      </c>
      <c r="D11" s="221" t="s">
        <v>95</v>
      </c>
      <c r="E11" s="213"/>
      <c r="F11" s="213"/>
      <c r="G11" s="213"/>
      <c r="H11" s="213"/>
      <c r="I11" s="213"/>
      <c r="J11" s="213"/>
      <c r="K11" s="214"/>
      <c r="L11" s="213"/>
      <c r="M11" s="213"/>
    </row>
    <row r="12" spans="2:13" ht="13.5" thickBot="1">
      <c r="B12" s="219" t="s">
        <v>99</v>
      </c>
      <c r="C12" s="220">
        <v>70</v>
      </c>
      <c r="D12" s="221" t="s">
        <v>97</v>
      </c>
      <c r="E12" s="213"/>
      <c r="F12" s="216">
        <f>+C8</f>
        <v>150</v>
      </c>
      <c r="G12" s="213"/>
      <c r="H12" s="213"/>
      <c r="I12" s="213"/>
      <c r="J12" s="213"/>
      <c r="K12" s="214"/>
      <c r="L12" s="213"/>
      <c r="M12" s="213"/>
    </row>
    <row r="13" spans="2:13" ht="13.5" thickBot="1">
      <c r="B13" s="219" t="s">
        <v>100</v>
      </c>
      <c r="C13" s="220">
        <v>505.2</v>
      </c>
      <c r="D13" s="221" t="s">
        <v>101</v>
      </c>
      <c r="E13" s="213"/>
      <c r="F13" s="213"/>
      <c r="G13" s="213"/>
      <c r="H13" s="213"/>
      <c r="I13" s="213"/>
      <c r="J13" s="213"/>
      <c r="K13" s="214"/>
      <c r="L13" s="213"/>
      <c r="M13" s="213"/>
    </row>
    <row r="14" spans="2:13" ht="13.5" thickBot="1">
      <c r="B14" s="222"/>
      <c r="C14" s="222"/>
      <c r="D14" s="223"/>
      <c r="E14" s="213"/>
      <c r="F14" s="216">
        <f>+(K7*C15+K18+C12-C8*C10)/C13</f>
        <v>129.63306611243073</v>
      </c>
      <c r="G14" s="213"/>
      <c r="H14" s="213"/>
      <c r="I14" s="213"/>
      <c r="J14" s="213"/>
      <c r="K14" s="214"/>
      <c r="L14" s="213"/>
      <c r="M14" s="213"/>
    </row>
    <row r="15" spans="2:13" ht="12.75">
      <c r="B15" s="219" t="s">
        <v>102</v>
      </c>
      <c r="C15" s="220">
        <f>606.5+0.305*C12</f>
        <v>627.85</v>
      </c>
      <c r="D15" s="221" t="s">
        <v>101</v>
      </c>
      <c r="E15" s="213"/>
      <c r="F15" s="213"/>
      <c r="G15" s="213"/>
      <c r="H15" s="213"/>
      <c r="I15" s="213"/>
      <c r="J15" s="213"/>
      <c r="K15" s="214"/>
      <c r="L15" s="213"/>
      <c r="M15" s="213"/>
    </row>
    <row r="16" spans="2:13" ht="12.75">
      <c r="B16" s="224"/>
      <c r="C16" s="224"/>
      <c r="D16" s="224"/>
      <c r="E16" s="213"/>
      <c r="F16" s="213"/>
      <c r="G16" s="213"/>
      <c r="H16" s="213"/>
      <c r="I16" s="213"/>
      <c r="J16" s="213"/>
      <c r="K16" s="214"/>
      <c r="L16" s="213"/>
      <c r="M16" s="213"/>
    </row>
    <row r="17" spans="2:13" ht="13.5" thickBot="1">
      <c r="B17" s="219" t="s">
        <v>103</v>
      </c>
      <c r="C17" s="225">
        <v>20</v>
      </c>
      <c r="D17" s="226" t="s">
        <v>97</v>
      </c>
      <c r="E17" s="213"/>
      <c r="F17" s="213"/>
      <c r="G17" s="213"/>
      <c r="H17" s="213"/>
      <c r="I17" s="213"/>
      <c r="J17" s="213"/>
      <c r="K17" s="214"/>
      <c r="L17" s="213"/>
      <c r="M17" s="213"/>
    </row>
    <row r="18" spans="2:13" ht="13.5" thickBot="1">
      <c r="B18" s="213"/>
      <c r="C18" s="213"/>
      <c r="D18" s="213"/>
      <c r="E18" s="213"/>
      <c r="F18" s="213"/>
      <c r="G18" s="213"/>
      <c r="H18" s="213"/>
      <c r="I18" s="213"/>
      <c r="J18" s="213"/>
      <c r="K18" s="216">
        <f>+C8*C9/C11</f>
        <v>37.5</v>
      </c>
      <c r="L18" s="213"/>
      <c r="M18" s="213"/>
    </row>
    <row r="19" spans="2:13" ht="12.75">
      <c r="B19" s="213"/>
      <c r="C19" s="213"/>
      <c r="D19" s="213"/>
      <c r="E19" s="213"/>
      <c r="F19" s="213"/>
      <c r="G19" s="213"/>
      <c r="H19" s="213"/>
      <c r="I19" s="213"/>
      <c r="J19" s="213"/>
      <c r="K19" s="214"/>
      <c r="L19" s="213"/>
      <c r="M19" s="213"/>
    </row>
    <row r="20" spans="2:13" ht="12.75">
      <c r="B20" s="213"/>
      <c r="C20" s="213"/>
      <c r="D20" s="213"/>
      <c r="E20" s="213"/>
      <c r="F20" s="213"/>
      <c r="G20" s="213"/>
      <c r="H20" s="213"/>
      <c r="I20" s="213"/>
      <c r="J20" s="213"/>
      <c r="K20" s="214"/>
      <c r="L20" s="213"/>
      <c r="M20" s="213"/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&amp;C&amp;F</oddHeader>
    <oddFooter>&amp;CPagina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5"/>
  <sheetViews>
    <sheetView showGridLines="0"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2.8515625" style="228" customWidth="1"/>
    <col min="2" max="2" width="5.7109375" style="228" customWidth="1"/>
    <col min="3" max="3" width="10.140625" style="228" customWidth="1"/>
    <col min="4" max="5" width="2.421875" style="229" customWidth="1"/>
    <col min="6" max="6" width="2.8515625" style="229" customWidth="1"/>
    <col min="7" max="7" width="2.421875" style="229" customWidth="1"/>
    <col min="8" max="8" width="5.7109375" style="228" customWidth="1"/>
    <col min="9" max="9" width="5.00390625" style="230" customWidth="1"/>
    <col min="10" max="10" width="3.8515625" style="230" customWidth="1"/>
    <col min="11" max="11" width="22.28125" style="228" customWidth="1"/>
    <col min="12" max="12" width="6.28125" style="228" customWidth="1"/>
    <col min="13" max="13" width="3.00390625" style="228" customWidth="1"/>
    <col min="14" max="16384" width="11.421875" style="228" customWidth="1"/>
  </cols>
  <sheetData>
    <row r="1" spans="4:10" s="383" customFormat="1" ht="12.75">
      <c r="D1" s="384"/>
      <c r="E1" s="384"/>
      <c r="F1" s="384"/>
      <c r="G1" s="384"/>
      <c r="I1" s="385"/>
      <c r="J1" s="385"/>
    </row>
    <row r="2" spans="4:10" s="383" customFormat="1" ht="12.75">
      <c r="D2" s="384"/>
      <c r="E2" s="384"/>
      <c r="F2" s="384"/>
      <c r="G2" s="384"/>
      <c r="I2" s="385"/>
      <c r="J2" s="385"/>
    </row>
    <row r="3" ht="13.5" thickBot="1"/>
    <row r="4" spans="2:12" ht="15.75">
      <c r="B4" s="231"/>
      <c r="C4" s="232"/>
      <c r="D4" s="233"/>
      <c r="E4" s="233"/>
      <c r="F4" s="233"/>
      <c r="G4" s="233"/>
      <c r="H4" s="234"/>
      <c r="K4" s="235" t="s">
        <v>76</v>
      </c>
      <c r="L4" s="236">
        <v>50</v>
      </c>
    </row>
    <row r="5" spans="2:12" ht="21.75" customHeight="1" thickBot="1">
      <c r="B5" s="237"/>
      <c r="C5" s="238"/>
      <c r="D5" s="239" t="s">
        <v>104</v>
      </c>
      <c r="E5" s="240">
        <v>3</v>
      </c>
      <c r="F5" s="239" t="s">
        <v>105</v>
      </c>
      <c r="G5" s="240">
        <v>8</v>
      </c>
      <c r="H5" s="241"/>
      <c r="K5" s="242" t="s">
        <v>106</v>
      </c>
      <c r="L5" s="243">
        <v>25</v>
      </c>
    </row>
    <row r="6" spans="2:8" ht="13.5" thickBot="1">
      <c r="B6" s="244"/>
      <c r="C6" s="245"/>
      <c r="D6" s="246"/>
      <c r="E6" s="246"/>
      <c r="F6" s="246"/>
      <c r="G6" s="246"/>
      <c r="H6" s="247"/>
    </row>
    <row r="7" spans="2:8" ht="13.5" thickBot="1">
      <c r="B7" s="248"/>
      <c r="C7" s="248"/>
      <c r="D7" s="249"/>
      <c r="E7" s="249"/>
      <c r="F7" s="249"/>
      <c r="G7" s="249"/>
      <c r="H7" s="248"/>
    </row>
    <row r="8" spans="2:13" ht="14.25" thickBot="1" thickTop="1">
      <c r="B8" s="250"/>
      <c r="C8" s="251"/>
      <c r="D8" s="252"/>
      <c r="E8" s="252"/>
      <c r="F8" s="252"/>
      <c r="G8" s="252"/>
      <c r="H8" s="251"/>
      <c r="I8" s="253"/>
      <c r="J8" s="253"/>
      <c r="K8" s="251"/>
      <c r="L8" s="251"/>
      <c r="M8" s="254"/>
    </row>
    <row r="9" spans="2:13" ht="15.75">
      <c r="B9" s="255"/>
      <c r="C9" s="256"/>
      <c r="D9" s="257"/>
      <c r="E9" s="258" t="s">
        <v>107</v>
      </c>
      <c r="F9" s="259"/>
      <c r="G9" s="259"/>
      <c r="H9" s="259"/>
      <c r="I9" s="260"/>
      <c r="J9" s="261"/>
      <c r="K9" s="262"/>
      <c r="L9" s="262"/>
      <c r="M9" s="263"/>
    </row>
    <row r="10" spans="2:13" ht="16.5" thickBot="1">
      <c r="B10" s="255"/>
      <c r="C10" s="256"/>
      <c r="D10" s="257"/>
      <c r="E10" s="264"/>
      <c r="F10" s="265" t="s">
        <v>108</v>
      </c>
      <c r="G10" s="265"/>
      <c r="H10" s="266" t="s">
        <v>93</v>
      </c>
      <c r="I10" s="267" t="s">
        <v>109</v>
      </c>
      <c r="J10" s="268"/>
      <c r="K10" s="262"/>
      <c r="L10" s="262"/>
      <c r="M10" s="263"/>
    </row>
    <row r="11" spans="2:13" ht="24" customHeight="1">
      <c r="B11" s="255"/>
      <c r="C11" s="262"/>
      <c r="D11" s="257"/>
      <c r="E11" s="269" t="s">
        <v>110</v>
      </c>
      <c r="F11" s="270"/>
      <c r="G11" s="271"/>
      <c r="H11" s="272">
        <f>E5*L12*44</f>
        <v>150</v>
      </c>
      <c r="I11" s="273">
        <f>H11/(H$11+H$12+H$13+H$14)*100</f>
        <v>2.79424216765453</v>
      </c>
      <c r="J11" s="274"/>
      <c r="K11" s="275" t="s">
        <v>111</v>
      </c>
      <c r="L11" s="276">
        <f>E5*12+G5</f>
        <v>44</v>
      </c>
      <c r="M11" s="263"/>
    </row>
    <row r="12" spans="2:13" ht="24" customHeight="1" thickBot="1">
      <c r="B12" s="255"/>
      <c r="C12" s="262"/>
      <c r="D12" s="257"/>
      <c r="E12" s="277" t="s">
        <v>112</v>
      </c>
      <c r="F12" s="271"/>
      <c r="G12" s="278"/>
      <c r="H12" s="272">
        <f>+G5/2*L12*18</f>
        <v>81.81818181818183</v>
      </c>
      <c r="I12" s="273">
        <f>H12/(H$11+H$12+H$13+H$14)*100</f>
        <v>1.5241320914479253</v>
      </c>
      <c r="J12" s="274"/>
      <c r="K12" s="279" t="s">
        <v>113</v>
      </c>
      <c r="L12" s="280">
        <f>L4/L11</f>
        <v>1.1363636363636365</v>
      </c>
      <c r="M12" s="263"/>
    </row>
    <row r="13" spans="2:13" ht="24" customHeight="1">
      <c r="B13" s="255"/>
      <c r="C13" s="262"/>
      <c r="D13" s="257"/>
      <c r="E13" s="277" t="s">
        <v>114</v>
      </c>
      <c r="F13" s="271"/>
      <c r="G13" s="281"/>
      <c r="H13" s="272">
        <f>L12*(E5+G5/4)*L5/100*32</f>
        <v>45.45454545454546</v>
      </c>
      <c r="I13" s="273">
        <f>H13/(H$11+H$12+H$13+H$14)*100</f>
        <v>0.8467400508044031</v>
      </c>
      <c r="J13" s="274"/>
      <c r="K13" s="262"/>
      <c r="L13" s="262"/>
      <c r="M13" s="263"/>
    </row>
    <row r="14" spans="2:13" ht="24" customHeight="1" thickBot="1">
      <c r="B14" s="255"/>
      <c r="C14" s="262"/>
      <c r="D14" s="257"/>
      <c r="E14" s="282" t="s">
        <v>115</v>
      </c>
      <c r="F14" s="283"/>
      <c r="G14" s="284"/>
      <c r="H14" s="285">
        <f>4*H13*28</f>
        <v>5090.909090909092</v>
      </c>
      <c r="I14" s="286">
        <f>H14/(H$11+H$12+H$13+H$14)*100</f>
        <v>94.83488569009315</v>
      </c>
      <c r="J14" s="274"/>
      <c r="K14" s="262"/>
      <c r="L14" s="262"/>
      <c r="M14" s="263"/>
    </row>
    <row r="15" spans="2:13" ht="13.5" thickBot="1">
      <c r="B15" s="287"/>
      <c r="C15" s="288"/>
      <c r="D15" s="289"/>
      <c r="E15" s="289"/>
      <c r="F15" s="289"/>
      <c r="G15" s="289"/>
      <c r="H15" s="288"/>
      <c r="I15" s="290"/>
      <c r="J15" s="290"/>
      <c r="K15" s="288"/>
      <c r="L15" s="288"/>
      <c r="M15" s="291"/>
    </row>
    <row r="16" ht="13.5" thickTop="1"/>
  </sheetData>
  <printOptions/>
  <pageMargins left="0.75" right="0.75" top="1" bottom="1" header="0.5" footer="0.5"/>
  <pageSetup orientation="portrait"/>
  <headerFooter alignWithMargins="0">
    <oddHeader>&amp;C&amp;F</oddHeader>
    <oddFooter>&amp;CPagina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58"/>
  <sheetViews>
    <sheetView showGridLines="0" workbookViewId="0" topLeftCell="A1">
      <pane ySplit="2" topLeftCell="BM3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4.57421875" style="292" customWidth="1"/>
    <col min="2" max="2" width="5.7109375" style="292" customWidth="1"/>
    <col min="3" max="3" width="10.140625" style="292" customWidth="1"/>
    <col min="4" max="5" width="2.421875" style="293" customWidth="1"/>
    <col min="6" max="6" width="2.7109375" style="293" customWidth="1"/>
    <col min="7" max="7" width="2.57421875" style="293" customWidth="1"/>
    <col min="8" max="8" width="5.7109375" style="292" customWidth="1"/>
    <col min="9" max="9" width="5.00390625" style="294" customWidth="1"/>
    <col min="10" max="10" width="3.8515625" style="294" customWidth="1"/>
    <col min="11" max="11" width="16.7109375" style="292" customWidth="1"/>
    <col min="12" max="12" width="6.28125" style="292" customWidth="1"/>
    <col min="13" max="13" width="3.00390625" style="292" customWidth="1"/>
    <col min="14" max="14" width="11.421875" style="292" customWidth="1"/>
    <col min="15" max="15" width="8.140625" style="295" customWidth="1"/>
    <col min="16" max="23" width="6.57421875" style="295" customWidth="1"/>
    <col min="24" max="16384" width="11.421875" style="292" customWidth="1"/>
  </cols>
  <sheetData>
    <row r="1" spans="4:23" s="386" customFormat="1" ht="12.75">
      <c r="D1" s="387"/>
      <c r="E1" s="387"/>
      <c r="F1" s="387"/>
      <c r="G1" s="387"/>
      <c r="I1" s="388"/>
      <c r="J1" s="388"/>
      <c r="O1" s="389"/>
      <c r="P1" s="389"/>
      <c r="Q1" s="389"/>
      <c r="R1" s="389"/>
      <c r="S1" s="389"/>
      <c r="T1" s="389"/>
      <c r="U1" s="389"/>
      <c r="V1" s="389"/>
      <c r="W1" s="389"/>
    </row>
    <row r="2" spans="4:23" s="386" customFormat="1" ht="12.75">
      <c r="D2" s="387"/>
      <c r="E2" s="387"/>
      <c r="F2" s="387"/>
      <c r="G2" s="387"/>
      <c r="I2" s="388"/>
      <c r="J2" s="388"/>
      <c r="O2" s="389"/>
      <c r="P2" s="389"/>
      <c r="Q2" s="389"/>
      <c r="R2" s="389"/>
      <c r="S2" s="389"/>
      <c r="T2" s="389"/>
      <c r="U2" s="389"/>
      <c r="V2" s="389"/>
      <c r="W2" s="389"/>
    </row>
    <row r="3" ht="13.5" thickBot="1"/>
    <row r="4" spans="2:23" ht="13.5" thickBot="1">
      <c r="B4" s="296"/>
      <c r="C4" s="297"/>
      <c r="D4" s="298"/>
      <c r="E4" s="298"/>
      <c r="F4" s="298"/>
      <c r="G4" s="298"/>
      <c r="H4" s="299"/>
      <c r="K4" s="300" t="s">
        <v>76</v>
      </c>
      <c r="L4" s="301">
        <v>60</v>
      </c>
      <c r="O4" s="292"/>
      <c r="P4" s="302"/>
      <c r="Q4" s="302"/>
      <c r="R4" s="302"/>
      <c r="S4" s="302"/>
      <c r="T4" s="292"/>
      <c r="U4" s="292"/>
      <c r="V4" s="292"/>
      <c r="W4" s="292"/>
    </row>
    <row r="5" spans="2:12" ht="21.75" customHeight="1">
      <c r="B5" s="303"/>
      <c r="C5" s="304" t="s">
        <v>116</v>
      </c>
      <c r="D5" s="305" t="s">
        <v>104</v>
      </c>
      <c r="E5" s="306">
        <v>3</v>
      </c>
      <c r="F5" s="305" t="s">
        <v>105</v>
      </c>
      <c r="G5" s="306">
        <v>8</v>
      </c>
      <c r="H5" s="307"/>
      <c r="J5" s="292"/>
      <c r="K5" s="308" t="s">
        <v>117</v>
      </c>
      <c r="L5" s="309">
        <f>E5*12+G5</f>
        <v>44</v>
      </c>
    </row>
    <row r="6" spans="2:23" ht="16.5" thickBot="1">
      <c r="B6" s="310"/>
      <c r="C6" s="311"/>
      <c r="D6" s="312"/>
      <c r="E6" s="312"/>
      <c r="F6" s="312"/>
      <c r="G6" s="312"/>
      <c r="H6" s="313"/>
      <c r="J6" s="292"/>
      <c r="K6" s="314" t="s">
        <v>118</v>
      </c>
      <c r="L6" s="315">
        <f>L4/L5</f>
        <v>1.3636363636363635</v>
      </c>
      <c r="O6" s="316" t="s">
        <v>119</v>
      </c>
      <c r="P6" s="317" t="s">
        <v>120</v>
      </c>
      <c r="Q6" s="318"/>
      <c r="R6" s="318"/>
      <c r="S6" s="319"/>
      <c r="T6" s="317" t="s">
        <v>121</v>
      </c>
      <c r="U6" s="318"/>
      <c r="V6" s="318"/>
      <c r="W6" s="319"/>
    </row>
    <row r="7" spans="4:23" ht="12.75">
      <c r="D7" s="292"/>
      <c r="E7" s="292"/>
      <c r="F7" s="292"/>
      <c r="G7" s="292"/>
      <c r="I7" s="292"/>
      <c r="J7" s="292"/>
      <c r="O7" s="320" t="s">
        <v>122</v>
      </c>
      <c r="P7" s="321" t="s">
        <v>123</v>
      </c>
      <c r="Q7" s="322" t="s">
        <v>124</v>
      </c>
      <c r="R7" s="322" t="s">
        <v>125</v>
      </c>
      <c r="S7" s="323" t="s">
        <v>126</v>
      </c>
      <c r="T7" s="321" t="s">
        <v>123</v>
      </c>
      <c r="U7" s="322" t="s">
        <v>124</v>
      </c>
      <c r="V7" s="322" t="s">
        <v>125</v>
      </c>
      <c r="W7" s="323" t="s">
        <v>126</v>
      </c>
    </row>
    <row r="8" spans="4:23" ht="12.75">
      <c r="D8" s="292"/>
      <c r="E8" s="292"/>
      <c r="F8" s="292"/>
      <c r="G8" s="292"/>
      <c r="I8" s="292"/>
      <c r="J8" s="292"/>
      <c r="O8" s="324">
        <v>0</v>
      </c>
      <c r="P8" s="324">
        <f aca="true" t="shared" si="0" ref="P8:S27">T8/($T8+$U8+$V8+$W8)*100</f>
        <v>17.277486910994767</v>
      </c>
      <c r="Q8" s="324">
        <f t="shared" si="0"/>
        <v>9.424083769633508</v>
      </c>
      <c r="R8" s="324">
        <f t="shared" si="0"/>
        <v>0</v>
      </c>
      <c r="S8" s="324">
        <f t="shared" si="0"/>
        <v>73.29842931937172</v>
      </c>
      <c r="T8" s="324">
        <f aca="true" t="shared" si="1" ref="T8:T39">$E$5*$L$6*44</f>
        <v>180</v>
      </c>
      <c r="U8" s="324">
        <f aca="true" t="shared" si="2" ref="U8:U39">G$5/2*L$6*18</f>
        <v>98.18181818181817</v>
      </c>
      <c r="V8" s="325">
        <f aca="true" t="shared" si="3" ref="V8:V39">L$6*(E$5+G$5/4)*O8/100*32</f>
        <v>0</v>
      </c>
      <c r="W8" s="325">
        <f aca="true" t="shared" si="4" ref="W8:W39">L$6*4*(E$5+G$5/4)*(O8/100+1)*28</f>
        <v>763.6363636363635</v>
      </c>
    </row>
    <row r="9" spans="4:23" ht="12.75">
      <c r="D9" s="292"/>
      <c r="E9" s="292"/>
      <c r="F9" s="292"/>
      <c r="G9" s="292"/>
      <c r="I9" s="292"/>
      <c r="J9" s="292"/>
      <c r="K9" s="326"/>
      <c r="L9" s="326"/>
      <c r="O9" s="324">
        <v>1</v>
      </c>
      <c r="P9" s="324">
        <f t="shared" si="0"/>
        <v>17.11618257261411</v>
      </c>
      <c r="Q9" s="324">
        <f t="shared" si="0"/>
        <v>9.336099585062241</v>
      </c>
      <c r="R9" s="324">
        <f t="shared" si="0"/>
        <v>0.2074688796680498</v>
      </c>
      <c r="S9" s="324">
        <f t="shared" si="0"/>
        <v>73.34024896265561</v>
      </c>
      <c r="T9" s="324">
        <f t="shared" si="1"/>
        <v>180</v>
      </c>
      <c r="U9" s="324">
        <f t="shared" si="2"/>
        <v>98.18181818181817</v>
      </c>
      <c r="V9" s="325">
        <f t="shared" si="3"/>
        <v>2.1818181818181817</v>
      </c>
      <c r="W9" s="325">
        <f t="shared" si="4"/>
        <v>771.2727272727273</v>
      </c>
    </row>
    <row r="10" spans="4:23" ht="12.75">
      <c r="D10" s="292"/>
      <c r="E10" s="292"/>
      <c r="F10" s="292"/>
      <c r="G10" s="292"/>
      <c r="I10" s="292"/>
      <c r="J10" s="292"/>
      <c r="K10" s="326"/>
      <c r="L10" s="326"/>
      <c r="O10" s="324">
        <v>2</v>
      </c>
      <c r="P10" s="324">
        <f t="shared" si="0"/>
        <v>16.95786228160329</v>
      </c>
      <c r="Q10" s="324">
        <f t="shared" si="0"/>
        <v>9.249743062692701</v>
      </c>
      <c r="R10" s="324">
        <f t="shared" si="0"/>
        <v>0.4110996916752312</v>
      </c>
      <c r="S10" s="324">
        <f t="shared" si="0"/>
        <v>73.38129496402878</v>
      </c>
      <c r="T10" s="324">
        <f t="shared" si="1"/>
        <v>180</v>
      </c>
      <c r="U10" s="324">
        <f t="shared" si="2"/>
        <v>98.18181818181817</v>
      </c>
      <c r="V10" s="325">
        <f t="shared" si="3"/>
        <v>4.363636363636363</v>
      </c>
      <c r="W10" s="325">
        <f t="shared" si="4"/>
        <v>778.9090909090909</v>
      </c>
    </row>
    <row r="11" spans="4:23" ht="12.75" customHeight="1">
      <c r="D11" s="292"/>
      <c r="E11" s="292"/>
      <c r="F11" s="292"/>
      <c r="G11" s="292"/>
      <c r="I11" s="292"/>
      <c r="J11" s="292"/>
      <c r="O11" s="324">
        <v>3</v>
      </c>
      <c r="P11" s="324">
        <f t="shared" si="0"/>
        <v>16.802443991853362</v>
      </c>
      <c r="Q11" s="324">
        <f t="shared" si="0"/>
        <v>9.164969450101832</v>
      </c>
      <c r="R11" s="324">
        <f t="shared" si="0"/>
        <v>0.6109979633401221</v>
      </c>
      <c r="S11" s="324">
        <f t="shared" si="0"/>
        <v>73.42158859470467</v>
      </c>
      <c r="T11" s="324">
        <f t="shared" si="1"/>
        <v>180</v>
      </c>
      <c r="U11" s="324">
        <f t="shared" si="2"/>
        <v>98.18181818181817</v>
      </c>
      <c r="V11" s="325">
        <f t="shared" si="3"/>
        <v>6.545454545454545</v>
      </c>
      <c r="W11" s="325">
        <f t="shared" si="4"/>
        <v>786.5454545454545</v>
      </c>
    </row>
    <row r="12" spans="4:23" ht="12.75" customHeight="1">
      <c r="D12" s="292"/>
      <c r="E12" s="292"/>
      <c r="F12" s="292"/>
      <c r="G12" s="292"/>
      <c r="I12" s="292"/>
      <c r="J12" s="292"/>
      <c r="O12" s="324">
        <v>4</v>
      </c>
      <c r="P12" s="324">
        <f t="shared" si="0"/>
        <v>16.64984863773966</v>
      </c>
      <c r="Q12" s="324">
        <f t="shared" si="0"/>
        <v>9.081735620585267</v>
      </c>
      <c r="R12" s="324">
        <f t="shared" si="0"/>
        <v>0.8072653884964682</v>
      </c>
      <c r="S12" s="324">
        <f t="shared" si="0"/>
        <v>73.46115035317861</v>
      </c>
      <c r="T12" s="324">
        <f t="shared" si="1"/>
        <v>180</v>
      </c>
      <c r="U12" s="324">
        <f t="shared" si="2"/>
        <v>98.18181818181817</v>
      </c>
      <c r="V12" s="325">
        <f t="shared" si="3"/>
        <v>8.727272727272727</v>
      </c>
      <c r="W12" s="325">
        <f t="shared" si="4"/>
        <v>794.1818181818181</v>
      </c>
    </row>
    <row r="13" spans="4:23" ht="12.75" customHeight="1">
      <c r="D13" s="292"/>
      <c r="E13" s="292"/>
      <c r="F13" s="292"/>
      <c r="G13" s="292"/>
      <c r="I13" s="292"/>
      <c r="J13" s="292"/>
      <c r="K13" s="326"/>
      <c r="L13" s="326"/>
      <c r="O13" s="324">
        <v>5</v>
      </c>
      <c r="P13" s="324">
        <f t="shared" si="0"/>
        <v>16.499999999999996</v>
      </c>
      <c r="Q13" s="324">
        <f t="shared" si="0"/>
        <v>8.999999999999998</v>
      </c>
      <c r="R13" s="324">
        <f t="shared" si="0"/>
        <v>0.9999999999999999</v>
      </c>
      <c r="S13" s="324">
        <f t="shared" si="0"/>
        <v>73.49999999999999</v>
      </c>
      <c r="T13" s="324">
        <f t="shared" si="1"/>
        <v>180</v>
      </c>
      <c r="U13" s="324">
        <f t="shared" si="2"/>
        <v>98.18181818181817</v>
      </c>
      <c r="V13" s="325">
        <f t="shared" si="3"/>
        <v>10.909090909090908</v>
      </c>
      <c r="W13" s="325">
        <f t="shared" si="4"/>
        <v>801.8181818181818</v>
      </c>
    </row>
    <row r="14" spans="4:23" ht="12.75" customHeight="1">
      <c r="D14" s="292"/>
      <c r="E14" s="292"/>
      <c r="F14" s="292"/>
      <c r="G14" s="292"/>
      <c r="I14" s="292"/>
      <c r="J14" s="292"/>
      <c r="K14" s="326"/>
      <c r="L14" s="326"/>
      <c r="O14" s="324">
        <v>6</v>
      </c>
      <c r="P14" s="324">
        <f t="shared" si="0"/>
        <v>16.352824578790884</v>
      </c>
      <c r="Q14" s="324">
        <f t="shared" si="0"/>
        <v>8.9197224975223</v>
      </c>
      <c r="R14" s="324">
        <f t="shared" si="0"/>
        <v>1.1892963330029733</v>
      </c>
      <c r="S14" s="324">
        <f t="shared" si="0"/>
        <v>73.53815659068385</v>
      </c>
      <c r="T14" s="324">
        <f t="shared" si="1"/>
        <v>180</v>
      </c>
      <c r="U14" s="324">
        <f t="shared" si="2"/>
        <v>98.18181818181817</v>
      </c>
      <c r="V14" s="325">
        <f t="shared" si="3"/>
        <v>13.09090909090909</v>
      </c>
      <c r="W14" s="325">
        <f t="shared" si="4"/>
        <v>809.4545454545454</v>
      </c>
    </row>
    <row r="15" spans="4:23" ht="12.75" customHeight="1">
      <c r="D15" s="292"/>
      <c r="E15" s="292"/>
      <c r="F15" s="292"/>
      <c r="G15" s="292"/>
      <c r="I15" s="292"/>
      <c r="J15" s="292"/>
      <c r="O15" s="324">
        <v>7</v>
      </c>
      <c r="P15" s="324">
        <f t="shared" si="0"/>
        <v>16.208251473477407</v>
      </c>
      <c r="Q15" s="324">
        <f t="shared" si="0"/>
        <v>8.840864440078585</v>
      </c>
      <c r="R15" s="324">
        <f t="shared" si="0"/>
        <v>1.3752455795677798</v>
      </c>
      <c r="S15" s="324">
        <f t="shared" si="0"/>
        <v>73.57563850687623</v>
      </c>
      <c r="T15" s="324">
        <f t="shared" si="1"/>
        <v>180</v>
      </c>
      <c r="U15" s="324">
        <f t="shared" si="2"/>
        <v>98.18181818181817</v>
      </c>
      <c r="V15" s="325">
        <f t="shared" si="3"/>
        <v>15.27272727272727</v>
      </c>
      <c r="W15" s="325">
        <f t="shared" si="4"/>
        <v>817.090909090909</v>
      </c>
    </row>
    <row r="16" spans="4:23" ht="12.75" customHeight="1">
      <c r="D16" s="292"/>
      <c r="E16" s="292"/>
      <c r="F16" s="292"/>
      <c r="G16" s="292"/>
      <c r="I16" s="292"/>
      <c r="J16" s="292"/>
      <c r="O16" s="324">
        <v>8</v>
      </c>
      <c r="P16" s="324">
        <f t="shared" si="0"/>
        <v>16.06621226874391</v>
      </c>
      <c r="Q16" s="324">
        <f t="shared" si="0"/>
        <v>8.763388510223951</v>
      </c>
      <c r="R16" s="324">
        <f t="shared" si="0"/>
        <v>1.5579357351509246</v>
      </c>
      <c r="S16" s="324">
        <f t="shared" si="0"/>
        <v>73.6124634858812</v>
      </c>
      <c r="T16" s="324">
        <f t="shared" si="1"/>
        <v>180</v>
      </c>
      <c r="U16" s="324">
        <f t="shared" si="2"/>
        <v>98.18181818181817</v>
      </c>
      <c r="V16" s="325">
        <f t="shared" si="3"/>
        <v>17.454545454545453</v>
      </c>
      <c r="W16" s="325">
        <f t="shared" si="4"/>
        <v>824.7272727272727</v>
      </c>
    </row>
    <row r="17" spans="15:23" ht="12.75">
      <c r="O17" s="324">
        <v>9</v>
      </c>
      <c r="P17" s="324">
        <f t="shared" si="0"/>
        <v>15.926640926640925</v>
      </c>
      <c r="Q17" s="324">
        <f t="shared" si="0"/>
        <v>8.687258687258687</v>
      </c>
      <c r="R17" s="324">
        <f t="shared" si="0"/>
        <v>1.7374517374517375</v>
      </c>
      <c r="S17" s="324">
        <f t="shared" si="0"/>
        <v>73.64864864864865</v>
      </c>
      <c r="T17" s="324">
        <f t="shared" si="1"/>
        <v>180</v>
      </c>
      <c r="U17" s="324">
        <f t="shared" si="2"/>
        <v>98.18181818181817</v>
      </c>
      <c r="V17" s="325">
        <f t="shared" si="3"/>
        <v>19.636363636363637</v>
      </c>
      <c r="W17" s="325">
        <f t="shared" si="4"/>
        <v>832.3636363636364</v>
      </c>
    </row>
    <row r="18" spans="15:23" ht="12.75">
      <c r="O18" s="324">
        <v>10</v>
      </c>
      <c r="P18" s="324">
        <f t="shared" si="0"/>
        <v>15.789473684210526</v>
      </c>
      <c r="Q18" s="324">
        <f t="shared" si="0"/>
        <v>8.61244019138756</v>
      </c>
      <c r="R18" s="324">
        <f t="shared" si="0"/>
        <v>1.9138755980861244</v>
      </c>
      <c r="S18" s="324">
        <f t="shared" si="0"/>
        <v>73.68421052631578</v>
      </c>
      <c r="T18" s="324">
        <f t="shared" si="1"/>
        <v>180</v>
      </c>
      <c r="U18" s="324">
        <f t="shared" si="2"/>
        <v>98.18181818181817</v>
      </c>
      <c r="V18" s="325">
        <f t="shared" si="3"/>
        <v>21.818181818181817</v>
      </c>
      <c r="W18" s="325">
        <f t="shared" si="4"/>
        <v>840</v>
      </c>
    </row>
    <row r="19" spans="15:23" ht="12.75">
      <c r="O19" s="324">
        <v>11</v>
      </c>
      <c r="P19" s="324">
        <f t="shared" si="0"/>
        <v>15.654648956356738</v>
      </c>
      <c r="Q19" s="324">
        <f t="shared" si="0"/>
        <v>8.538899430740038</v>
      </c>
      <c r="R19" s="324">
        <f t="shared" si="0"/>
        <v>2.087286527514231</v>
      </c>
      <c r="S19" s="324">
        <f t="shared" si="0"/>
        <v>73.719165085389</v>
      </c>
      <c r="T19" s="324">
        <f t="shared" si="1"/>
        <v>180</v>
      </c>
      <c r="U19" s="324">
        <f t="shared" si="2"/>
        <v>98.18181818181817</v>
      </c>
      <c r="V19" s="325">
        <f t="shared" si="3"/>
        <v>23.999999999999996</v>
      </c>
      <c r="W19" s="325">
        <f t="shared" si="4"/>
        <v>847.6363636363636</v>
      </c>
    </row>
    <row r="20" spans="15:23" ht="12.75">
      <c r="O20" s="324">
        <v>12</v>
      </c>
      <c r="P20" s="324">
        <f t="shared" si="0"/>
        <v>15.52210724365005</v>
      </c>
      <c r="Q20" s="324">
        <f t="shared" si="0"/>
        <v>8.466603951081844</v>
      </c>
      <c r="R20" s="324">
        <f t="shared" si="0"/>
        <v>2.257761053621825</v>
      </c>
      <c r="S20" s="324">
        <f t="shared" si="0"/>
        <v>73.75352775164629</v>
      </c>
      <c r="T20" s="324">
        <f t="shared" si="1"/>
        <v>180</v>
      </c>
      <c r="U20" s="324">
        <f t="shared" si="2"/>
        <v>98.18181818181817</v>
      </c>
      <c r="V20" s="325">
        <f t="shared" si="3"/>
        <v>26.18181818181818</v>
      </c>
      <c r="W20" s="325">
        <f t="shared" si="4"/>
        <v>855.2727272727273</v>
      </c>
    </row>
    <row r="21" spans="15:23" ht="12.75">
      <c r="O21" s="324">
        <v>13</v>
      </c>
      <c r="P21" s="324">
        <f t="shared" si="0"/>
        <v>15.39179104477612</v>
      </c>
      <c r="Q21" s="324">
        <f t="shared" si="0"/>
        <v>8.395522388059701</v>
      </c>
      <c r="R21" s="324">
        <f t="shared" si="0"/>
        <v>2.425373134328358</v>
      </c>
      <c r="S21" s="324">
        <f t="shared" si="0"/>
        <v>73.78731343283582</v>
      </c>
      <c r="T21" s="324">
        <f t="shared" si="1"/>
        <v>180</v>
      </c>
      <c r="U21" s="324">
        <f t="shared" si="2"/>
        <v>98.18181818181817</v>
      </c>
      <c r="V21" s="325">
        <f t="shared" si="3"/>
        <v>28.36363636363636</v>
      </c>
      <c r="W21" s="325">
        <f t="shared" si="4"/>
        <v>862.9090909090908</v>
      </c>
    </row>
    <row r="22" spans="15:23" ht="12.75">
      <c r="O22" s="324">
        <v>14</v>
      </c>
      <c r="P22" s="324">
        <f t="shared" si="0"/>
        <v>15.263644773358001</v>
      </c>
      <c r="Q22" s="324">
        <f t="shared" si="0"/>
        <v>8.325624421831638</v>
      </c>
      <c r="R22" s="324">
        <f t="shared" si="0"/>
        <v>2.5901942645698424</v>
      </c>
      <c r="S22" s="324">
        <f t="shared" si="0"/>
        <v>73.82053654024051</v>
      </c>
      <c r="T22" s="324">
        <f t="shared" si="1"/>
        <v>180</v>
      </c>
      <c r="U22" s="324">
        <f t="shared" si="2"/>
        <v>98.18181818181817</v>
      </c>
      <c r="V22" s="325">
        <f t="shared" si="3"/>
        <v>30.54545454545454</v>
      </c>
      <c r="W22" s="325">
        <f t="shared" si="4"/>
        <v>870.5454545454545</v>
      </c>
    </row>
    <row r="23" spans="15:23" ht="12.75">
      <c r="O23" s="324">
        <v>15</v>
      </c>
      <c r="P23" s="324">
        <f t="shared" si="0"/>
        <v>15.137614678899084</v>
      </c>
      <c r="Q23" s="324">
        <f t="shared" si="0"/>
        <v>8.256880733944955</v>
      </c>
      <c r="R23" s="324">
        <f t="shared" si="0"/>
        <v>2.7522935779816518</v>
      </c>
      <c r="S23" s="324">
        <f t="shared" si="0"/>
        <v>73.8532110091743</v>
      </c>
      <c r="T23" s="324">
        <f t="shared" si="1"/>
        <v>180</v>
      </c>
      <c r="U23" s="324">
        <f t="shared" si="2"/>
        <v>98.18181818181817</v>
      </c>
      <c r="V23" s="325">
        <f t="shared" si="3"/>
        <v>32.72727272727273</v>
      </c>
      <c r="W23" s="325">
        <f t="shared" si="4"/>
        <v>878.181818181818</v>
      </c>
    </row>
    <row r="24" spans="15:23" ht="12.75">
      <c r="O24" s="324">
        <v>16</v>
      </c>
      <c r="P24" s="324">
        <f t="shared" si="0"/>
        <v>15.013648771610558</v>
      </c>
      <c r="Q24" s="324">
        <f t="shared" si="0"/>
        <v>8.18926296633303</v>
      </c>
      <c r="R24" s="324">
        <f t="shared" si="0"/>
        <v>2.9117379435850776</v>
      </c>
      <c r="S24" s="324">
        <f t="shared" si="0"/>
        <v>73.88535031847134</v>
      </c>
      <c r="T24" s="324">
        <f t="shared" si="1"/>
        <v>180</v>
      </c>
      <c r="U24" s="324">
        <f t="shared" si="2"/>
        <v>98.18181818181817</v>
      </c>
      <c r="V24" s="325">
        <f t="shared" si="3"/>
        <v>34.90909090909091</v>
      </c>
      <c r="W24" s="325">
        <f t="shared" si="4"/>
        <v>885.8181818181816</v>
      </c>
    </row>
    <row r="25" spans="15:23" ht="12.75">
      <c r="O25" s="324">
        <v>17</v>
      </c>
      <c r="P25" s="324">
        <f t="shared" si="0"/>
        <v>14.89169675090253</v>
      </c>
      <c r="Q25" s="324">
        <f t="shared" si="0"/>
        <v>8.12274368231047</v>
      </c>
      <c r="R25" s="324">
        <f t="shared" si="0"/>
        <v>3.068592057761733</v>
      </c>
      <c r="S25" s="324">
        <f t="shared" si="0"/>
        <v>73.91696750902527</v>
      </c>
      <c r="T25" s="324">
        <f t="shared" si="1"/>
        <v>180</v>
      </c>
      <c r="U25" s="324">
        <f t="shared" si="2"/>
        <v>98.18181818181817</v>
      </c>
      <c r="V25" s="325">
        <f t="shared" si="3"/>
        <v>37.090909090909086</v>
      </c>
      <c r="W25" s="325">
        <f t="shared" si="4"/>
        <v>893.4545454545453</v>
      </c>
    </row>
    <row r="26" spans="15:23" ht="12.75">
      <c r="O26" s="324">
        <v>18</v>
      </c>
      <c r="P26" s="324">
        <f t="shared" si="0"/>
        <v>14.771709937332139</v>
      </c>
      <c r="Q26" s="324">
        <f t="shared" si="0"/>
        <v>8.057296329453893</v>
      </c>
      <c r="R26" s="324">
        <f t="shared" si="0"/>
        <v>3.222918531781558</v>
      </c>
      <c r="S26" s="324">
        <f t="shared" si="0"/>
        <v>73.9480752014324</v>
      </c>
      <c r="T26" s="324">
        <f t="shared" si="1"/>
        <v>180</v>
      </c>
      <c r="U26" s="324">
        <f t="shared" si="2"/>
        <v>98.18181818181817</v>
      </c>
      <c r="V26" s="325">
        <f t="shared" si="3"/>
        <v>39.27272727272727</v>
      </c>
      <c r="W26" s="325">
        <f t="shared" si="4"/>
        <v>901.090909090909</v>
      </c>
    </row>
    <row r="27" spans="15:23" ht="12.75">
      <c r="O27" s="324">
        <v>19</v>
      </c>
      <c r="P27" s="324">
        <f t="shared" si="0"/>
        <v>14.65364120781528</v>
      </c>
      <c r="Q27" s="324">
        <f t="shared" si="0"/>
        <v>7.9928952042628785</v>
      </c>
      <c r="R27" s="324">
        <f t="shared" si="0"/>
        <v>3.3747779751332154</v>
      </c>
      <c r="S27" s="324">
        <f t="shared" si="0"/>
        <v>73.97868561278862</v>
      </c>
      <c r="T27" s="324">
        <f t="shared" si="1"/>
        <v>180</v>
      </c>
      <c r="U27" s="324">
        <f t="shared" si="2"/>
        <v>98.18181818181817</v>
      </c>
      <c r="V27" s="325">
        <f t="shared" si="3"/>
        <v>41.45454545454545</v>
      </c>
      <c r="W27" s="325">
        <f t="shared" si="4"/>
        <v>908.7272727272725</v>
      </c>
    </row>
    <row r="28" spans="15:23" ht="12.75">
      <c r="O28" s="324">
        <v>20</v>
      </c>
      <c r="P28" s="324">
        <f aca="true" t="shared" si="5" ref="P28:S47">T28/($T28+$U28+$V28+$W28)*100</f>
        <v>14.537444933920707</v>
      </c>
      <c r="Q28" s="324">
        <f t="shared" si="5"/>
        <v>7.929515418502203</v>
      </c>
      <c r="R28" s="324">
        <f t="shared" si="5"/>
        <v>3.524229074889868</v>
      </c>
      <c r="S28" s="324">
        <f t="shared" si="5"/>
        <v>74.00881057268722</v>
      </c>
      <c r="T28" s="324">
        <f t="shared" si="1"/>
        <v>180</v>
      </c>
      <c r="U28" s="324">
        <f t="shared" si="2"/>
        <v>98.18181818181817</v>
      </c>
      <c r="V28" s="325">
        <f t="shared" si="3"/>
        <v>43.63636363636363</v>
      </c>
      <c r="W28" s="325">
        <f t="shared" si="4"/>
        <v>916.3636363636361</v>
      </c>
    </row>
    <row r="29" spans="15:23" ht="12.75">
      <c r="O29" s="324">
        <v>21</v>
      </c>
      <c r="P29" s="324">
        <f t="shared" si="5"/>
        <v>14.423076923076925</v>
      </c>
      <c r="Q29" s="324">
        <f t="shared" si="5"/>
        <v>7.8671328671328675</v>
      </c>
      <c r="R29" s="324">
        <f t="shared" si="5"/>
        <v>3.6713286713286717</v>
      </c>
      <c r="S29" s="324">
        <f t="shared" si="5"/>
        <v>74.03846153846153</v>
      </c>
      <c r="T29" s="324">
        <f t="shared" si="1"/>
        <v>180</v>
      </c>
      <c r="U29" s="324">
        <f t="shared" si="2"/>
        <v>98.18181818181817</v>
      </c>
      <c r="V29" s="325">
        <f t="shared" si="3"/>
        <v>45.81818181818181</v>
      </c>
      <c r="W29" s="325">
        <f t="shared" si="4"/>
        <v>923.9999999999998</v>
      </c>
    </row>
    <row r="30" spans="15:23" ht="12.75">
      <c r="O30" s="324">
        <v>22</v>
      </c>
      <c r="P30" s="324">
        <f t="shared" si="5"/>
        <v>14.310494362532525</v>
      </c>
      <c r="Q30" s="324">
        <f t="shared" si="5"/>
        <v>7.805724197745012</v>
      </c>
      <c r="R30" s="324">
        <f t="shared" si="5"/>
        <v>3.8161318300086724</v>
      </c>
      <c r="S30" s="324">
        <f t="shared" si="5"/>
        <v>74.06764960971378</v>
      </c>
      <c r="T30" s="324">
        <f t="shared" si="1"/>
        <v>180</v>
      </c>
      <c r="U30" s="324">
        <f t="shared" si="2"/>
        <v>98.18181818181817</v>
      </c>
      <c r="V30" s="325">
        <f t="shared" si="3"/>
        <v>47.99999999999999</v>
      </c>
      <c r="W30" s="325">
        <f t="shared" si="4"/>
        <v>931.6363636363635</v>
      </c>
    </row>
    <row r="31" spans="15:23" ht="12.75">
      <c r="O31" s="324">
        <v>23</v>
      </c>
      <c r="P31" s="324">
        <f t="shared" si="5"/>
        <v>14.199655765920827</v>
      </c>
      <c r="Q31" s="324">
        <f t="shared" si="5"/>
        <v>7.74526678141136</v>
      </c>
      <c r="R31" s="324">
        <f t="shared" si="5"/>
        <v>3.9586919104991396</v>
      </c>
      <c r="S31" s="324">
        <f t="shared" si="5"/>
        <v>74.09638554216868</v>
      </c>
      <c r="T31" s="324">
        <f t="shared" si="1"/>
        <v>180</v>
      </c>
      <c r="U31" s="324">
        <f t="shared" si="2"/>
        <v>98.18181818181817</v>
      </c>
      <c r="V31" s="325">
        <f t="shared" si="3"/>
        <v>50.18181818181818</v>
      </c>
      <c r="W31" s="325">
        <f t="shared" si="4"/>
        <v>939.2727272727271</v>
      </c>
    </row>
    <row r="32" spans="15:23" ht="12.75">
      <c r="O32" s="324">
        <v>24</v>
      </c>
      <c r="P32" s="324">
        <f t="shared" si="5"/>
        <v>14.090520922288643</v>
      </c>
      <c r="Q32" s="324">
        <f t="shared" si="5"/>
        <v>7.685738684884715</v>
      </c>
      <c r="R32" s="324">
        <f t="shared" si="5"/>
        <v>4.0990606319385146</v>
      </c>
      <c r="S32" s="324">
        <f t="shared" si="5"/>
        <v>74.12467976088813</v>
      </c>
      <c r="T32" s="324">
        <f t="shared" si="1"/>
        <v>180</v>
      </c>
      <c r="U32" s="324">
        <f t="shared" si="2"/>
        <v>98.18181818181817</v>
      </c>
      <c r="V32" s="325">
        <f t="shared" si="3"/>
        <v>52.36363636363636</v>
      </c>
      <c r="W32" s="325">
        <f t="shared" si="4"/>
        <v>946.9090909090908</v>
      </c>
    </row>
    <row r="33" spans="15:23" ht="12.75">
      <c r="O33" s="324">
        <v>25</v>
      </c>
      <c r="P33" s="324">
        <f t="shared" si="5"/>
        <v>13.983050847457628</v>
      </c>
      <c r="Q33" s="324">
        <f t="shared" si="5"/>
        <v>7.627118644067797</v>
      </c>
      <c r="R33" s="324">
        <f t="shared" si="5"/>
        <v>4.237288135593221</v>
      </c>
      <c r="S33" s="324">
        <f t="shared" si="5"/>
        <v>74.15254237288136</v>
      </c>
      <c r="T33" s="324">
        <f t="shared" si="1"/>
        <v>180</v>
      </c>
      <c r="U33" s="324">
        <f t="shared" si="2"/>
        <v>98.18181818181817</v>
      </c>
      <c r="V33" s="325">
        <f t="shared" si="3"/>
        <v>54.54545454545454</v>
      </c>
      <c r="W33" s="325">
        <f t="shared" si="4"/>
        <v>954.5454545454544</v>
      </c>
    </row>
    <row r="34" spans="15:23" ht="12.75">
      <c r="O34" s="324">
        <v>26</v>
      </c>
      <c r="P34" s="324">
        <f t="shared" si="5"/>
        <v>13.877207737594619</v>
      </c>
      <c r="Q34" s="324">
        <f t="shared" si="5"/>
        <v>7.5693860386879726</v>
      </c>
      <c r="R34" s="324">
        <f t="shared" si="5"/>
        <v>4.373423044575273</v>
      </c>
      <c r="S34" s="324">
        <f t="shared" si="5"/>
        <v>74.17998317914213</v>
      </c>
      <c r="T34" s="324">
        <f t="shared" si="1"/>
        <v>180</v>
      </c>
      <c r="U34" s="324">
        <f t="shared" si="2"/>
        <v>98.18181818181817</v>
      </c>
      <c r="V34" s="325">
        <f t="shared" si="3"/>
        <v>56.72727272727272</v>
      </c>
      <c r="W34" s="325">
        <f t="shared" si="4"/>
        <v>962.181818181818</v>
      </c>
    </row>
    <row r="35" spans="15:23" ht="12.75">
      <c r="O35" s="324">
        <v>27</v>
      </c>
      <c r="P35" s="324">
        <f t="shared" si="5"/>
        <v>13.772954924874792</v>
      </c>
      <c r="Q35" s="324">
        <f t="shared" si="5"/>
        <v>7.512520868113523</v>
      </c>
      <c r="R35" s="324">
        <f t="shared" si="5"/>
        <v>4.507512520868113</v>
      </c>
      <c r="S35" s="324">
        <f t="shared" si="5"/>
        <v>74.20701168614357</v>
      </c>
      <c r="T35" s="324">
        <f t="shared" si="1"/>
        <v>180</v>
      </c>
      <c r="U35" s="324">
        <f t="shared" si="2"/>
        <v>98.18181818181817</v>
      </c>
      <c r="V35" s="325">
        <f t="shared" si="3"/>
        <v>58.9090909090909</v>
      </c>
      <c r="W35" s="325">
        <f t="shared" si="4"/>
        <v>969.8181818181818</v>
      </c>
    </row>
    <row r="36" spans="15:23" ht="12.75">
      <c r="O36" s="324">
        <v>28</v>
      </c>
      <c r="P36" s="324">
        <f t="shared" si="5"/>
        <v>13.67025683512842</v>
      </c>
      <c r="Q36" s="324">
        <f t="shared" si="5"/>
        <v>7.456503728251865</v>
      </c>
      <c r="R36" s="324">
        <f t="shared" si="5"/>
        <v>4.63960231980116</v>
      </c>
      <c r="S36" s="324">
        <f t="shared" si="5"/>
        <v>74.23363711681856</v>
      </c>
      <c r="T36" s="324">
        <f t="shared" si="1"/>
        <v>180</v>
      </c>
      <c r="U36" s="324">
        <f t="shared" si="2"/>
        <v>98.18181818181817</v>
      </c>
      <c r="V36" s="325">
        <f t="shared" si="3"/>
        <v>61.09090909090908</v>
      </c>
      <c r="W36" s="325">
        <f t="shared" si="4"/>
        <v>977.4545454545454</v>
      </c>
    </row>
    <row r="37" spans="15:23" ht="12.75">
      <c r="O37" s="324">
        <v>29</v>
      </c>
      <c r="P37" s="324">
        <f t="shared" si="5"/>
        <v>13.569078947368421</v>
      </c>
      <c r="Q37" s="324">
        <f t="shared" si="5"/>
        <v>7.401315789473683</v>
      </c>
      <c r="R37" s="324">
        <f t="shared" si="5"/>
        <v>4.769736842105264</v>
      </c>
      <c r="S37" s="324">
        <f t="shared" si="5"/>
        <v>74.25986842105263</v>
      </c>
      <c r="T37" s="324">
        <f t="shared" si="1"/>
        <v>180</v>
      </c>
      <c r="U37" s="324">
        <f t="shared" si="2"/>
        <v>98.18181818181817</v>
      </c>
      <c r="V37" s="325">
        <f t="shared" si="3"/>
        <v>63.27272727272727</v>
      </c>
      <c r="W37" s="325">
        <f t="shared" si="4"/>
        <v>985.090909090909</v>
      </c>
    </row>
    <row r="38" spans="15:23" ht="12.75">
      <c r="O38" s="324">
        <v>30</v>
      </c>
      <c r="P38" s="324">
        <f t="shared" si="5"/>
        <v>13.469387755102039</v>
      </c>
      <c r="Q38" s="324">
        <f t="shared" si="5"/>
        <v>7.346938775510203</v>
      </c>
      <c r="R38" s="324">
        <f t="shared" si="5"/>
        <v>4.8979591836734695</v>
      </c>
      <c r="S38" s="324">
        <f t="shared" si="5"/>
        <v>74.28571428571428</v>
      </c>
      <c r="T38" s="324">
        <f t="shared" si="1"/>
        <v>180</v>
      </c>
      <c r="U38" s="324">
        <f t="shared" si="2"/>
        <v>98.18181818181817</v>
      </c>
      <c r="V38" s="325">
        <f t="shared" si="3"/>
        <v>65.45454545454545</v>
      </c>
      <c r="W38" s="325">
        <f t="shared" si="4"/>
        <v>992.7272727272727</v>
      </c>
    </row>
    <row r="39" spans="15:23" ht="12.75">
      <c r="O39" s="324">
        <v>31</v>
      </c>
      <c r="P39" s="324">
        <f t="shared" si="5"/>
        <v>13.371150729335493</v>
      </c>
      <c r="Q39" s="324">
        <f t="shared" si="5"/>
        <v>7.293354943273905</v>
      </c>
      <c r="R39" s="324">
        <f t="shared" si="5"/>
        <v>5.0243111831442455</v>
      </c>
      <c r="S39" s="324">
        <f t="shared" si="5"/>
        <v>74.31118314424636</v>
      </c>
      <c r="T39" s="324">
        <f t="shared" si="1"/>
        <v>180</v>
      </c>
      <c r="U39" s="324">
        <f t="shared" si="2"/>
        <v>98.18181818181817</v>
      </c>
      <c r="V39" s="325">
        <f t="shared" si="3"/>
        <v>67.63636363636363</v>
      </c>
      <c r="W39" s="325">
        <f t="shared" si="4"/>
        <v>1000.3636363636364</v>
      </c>
    </row>
    <row r="40" spans="15:23" ht="12.75">
      <c r="O40" s="324">
        <v>32</v>
      </c>
      <c r="P40" s="324">
        <f t="shared" si="5"/>
        <v>13.274336283185843</v>
      </c>
      <c r="Q40" s="324">
        <f t="shared" si="5"/>
        <v>7.240547063555912</v>
      </c>
      <c r="R40" s="324">
        <f t="shared" si="5"/>
        <v>5.148833467417538</v>
      </c>
      <c r="S40" s="324">
        <f t="shared" si="5"/>
        <v>74.33628318584071</v>
      </c>
      <c r="T40" s="324">
        <f aca="true" t="shared" si="6" ref="T40:T58">$E$5*$L$6*44</f>
        <v>180</v>
      </c>
      <c r="U40" s="324">
        <f aca="true" t="shared" si="7" ref="U40:U58">G$5/2*L$6*18</f>
        <v>98.18181818181817</v>
      </c>
      <c r="V40" s="325">
        <f aca="true" t="shared" si="8" ref="V40:V58">L$6*(E$5+G$5/4)*O40/100*32</f>
        <v>69.81818181818181</v>
      </c>
      <c r="W40" s="325">
        <f aca="true" t="shared" si="9" ref="W40:W58">L$6*4*(E$5+G$5/4)*(O40/100+1)*28</f>
        <v>1008</v>
      </c>
    </row>
    <row r="41" spans="15:23" ht="12.75">
      <c r="O41" s="324">
        <v>33</v>
      </c>
      <c r="P41" s="324">
        <f t="shared" si="5"/>
        <v>13.17891373801917</v>
      </c>
      <c r="Q41" s="324">
        <f t="shared" si="5"/>
        <v>7.1884984025559095</v>
      </c>
      <c r="R41" s="324">
        <f t="shared" si="5"/>
        <v>5.271565495207667</v>
      </c>
      <c r="S41" s="324">
        <f t="shared" si="5"/>
        <v>74.36102236421725</v>
      </c>
      <c r="T41" s="324">
        <f t="shared" si="6"/>
        <v>180</v>
      </c>
      <c r="U41" s="324">
        <f t="shared" si="7"/>
        <v>98.18181818181817</v>
      </c>
      <c r="V41" s="325">
        <f t="shared" si="8"/>
        <v>71.99999999999999</v>
      </c>
      <c r="W41" s="325">
        <f t="shared" si="9"/>
        <v>1015.6363636363636</v>
      </c>
    </row>
    <row r="42" spans="15:23" ht="12.75">
      <c r="O42" s="324">
        <v>34</v>
      </c>
      <c r="P42" s="324">
        <f t="shared" si="5"/>
        <v>13.08485329103886</v>
      </c>
      <c r="Q42" s="324">
        <f t="shared" si="5"/>
        <v>7.137192704203013</v>
      </c>
      <c r="R42" s="324">
        <f t="shared" si="5"/>
        <v>5.392545598731165</v>
      </c>
      <c r="S42" s="324">
        <f t="shared" si="5"/>
        <v>74.38540840602697</v>
      </c>
      <c r="T42" s="324">
        <f t="shared" si="6"/>
        <v>180</v>
      </c>
      <c r="U42" s="324">
        <f t="shared" si="7"/>
        <v>98.18181818181817</v>
      </c>
      <c r="V42" s="325">
        <f t="shared" si="8"/>
        <v>74.18181818181817</v>
      </c>
      <c r="W42" s="325">
        <f t="shared" si="9"/>
        <v>1023.2727272727273</v>
      </c>
    </row>
    <row r="43" spans="15:23" ht="12.75">
      <c r="O43" s="324">
        <v>35</v>
      </c>
      <c r="P43" s="324">
        <f t="shared" si="5"/>
        <v>12.992125984251967</v>
      </c>
      <c r="Q43" s="324">
        <f t="shared" si="5"/>
        <v>7.0866141732283445</v>
      </c>
      <c r="R43" s="324">
        <f t="shared" si="5"/>
        <v>5.5118110236220454</v>
      </c>
      <c r="S43" s="324">
        <f t="shared" si="5"/>
        <v>74.40944881889764</v>
      </c>
      <c r="T43" s="324">
        <f t="shared" si="6"/>
        <v>180</v>
      </c>
      <c r="U43" s="324">
        <f t="shared" si="7"/>
        <v>98.18181818181817</v>
      </c>
      <c r="V43" s="325">
        <f t="shared" si="8"/>
        <v>76.36363636363635</v>
      </c>
      <c r="W43" s="325">
        <f t="shared" si="9"/>
        <v>1030.909090909091</v>
      </c>
    </row>
    <row r="44" spans="15:23" ht="12.75">
      <c r="O44" s="324">
        <v>36</v>
      </c>
      <c r="P44" s="324">
        <f t="shared" si="5"/>
        <v>12.900703674745895</v>
      </c>
      <c r="Q44" s="324">
        <f t="shared" si="5"/>
        <v>7.036747458952306</v>
      </c>
      <c r="R44" s="324">
        <f t="shared" si="5"/>
        <v>5.629397967161846</v>
      </c>
      <c r="S44" s="324">
        <f t="shared" si="5"/>
        <v>74.43315089913996</v>
      </c>
      <c r="T44" s="324">
        <f t="shared" si="6"/>
        <v>180</v>
      </c>
      <c r="U44" s="324">
        <f t="shared" si="7"/>
        <v>98.18181818181817</v>
      </c>
      <c r="V44" s="325">
        <f t="shared" si="8"/>
        <v>78.54545454545455</v>
      </c>
      <c r="W44" s="325">
        <f t="shared" si="9"/>
        <v>1038.5454545454545</v>
      </c>
    </row>
    <row r="45" spans="15:23" ht="12.75">
      <c r="O45" s="324">
        <v>37</v>
      </c>
      <c r="P45" s="324">
        <f t="shared" si="5"/>
        <v>12.81055900621118</v>
      </c>
      <c r="Q45" s="324">
        <f t="shared" si="5"/>
        <v>6.987577639751552</v>
      </c>
      <c r="R45" s="324">
        <f t="shared" si="5"/>
        <v>5.745341614906832</v>
      </c>
      <c r="S45" s="324">
        <f t="shared" si="5"/>
        <v>74.45652173913044</v>
      </c>
      <c r="T45" s="324">
        <f t="shared" si="6"/>
        <v>180</v>
      </c>
      <c r="U45" s="324">
        <f t="shared" si="7"/>
        <v>98.18181818181817</v>
      </c>
      <c r="V45" s="325">
        <f t="shared" si="8"/>
        <v>80.72727272727272</v>
      </c>
      <c r="W45" s="325">
        <f t="shared" si="9"/>
        <v>1046.181818181818</v>
      </c>
    </row>
    <row r="46" spans="15:23" ht="12.75">
      <c r="O46" s="324">
        <v>38</v>
      </c>
      <c r="P46" s="324">
        <f t="shared" si="5"/>
        <v>12.721665381649967</v>
      </c>
      <c r="Q46" s="324">
        <f t="shared" si="5"/>
        <v>6.939090208172708</v>
      </c>
      <c r="R46" s="324">
        <f t="shared" si="5"/>
        <v>5.859676175790287</v>
      </c>
      <c r="S46" s="324">
        <f t="shared" si="5"/>
        <v>74.47956823438705</v>
      </c>
      <c r="T46" s="324">
        <f t="shared" si="6"/>
        <v>180</v>
      </c>
      <c r="U46" s="324">
        <f t="shared" si="7"/>
        <v>98.18181818181817</v>
      </c>
      <c r="V46" s="325">
        <f t="shared" si="8"/>
        <v>82.9090909090909</v>
      </c>
      <c r="W46" s="325">
        <f t="shared" si="9"/>
        <v>1053.8181818181815</v>
      </c>
    </row>
    <row r="47" spans="15:23" ht="12.75">
      <c r="O47" s="324">
        <v>39</v>
      </c>
      <c r="P47" s="324">
        <f t="shared" si="5"/>
        <v>12.633996937212864</v>
      </c>
      <c r="Q47" s="324">
        <f t="shared" si="5"/>
        <v>6.891271056661561</v>
      </c>
      <c r="R47" s="324">
        <f t="shared" si="5"/>
        <v>5.972434915773353</v>
      </c>
      <c r="S47" s="324">
        <f t="shared" si="5"/>
        <v>74.50229709035222</v>
      </c>
      <c r="T47" s="324">
        <f t="shared" si="6"/>
        <v>180</v>
      </c>
      <c r="U47" s="324">
        <f t="shared" si="7"/>
        <v>98.18181818181817</v>
      </c>
      <c r="V47" s="325">
        <f t="shared" si="8"/>
        <v>85.09090909090908</v>
      </c>
      <c r="W47" s="325">
        <f t="shared" si="9"/>
        <v>1061.4545454545455</v>
      </c>
    </row>
    <row r="48" spans="15:23" ht="12.75">
      <c r="O48" s="324">
        <v>40</v>
      </c>
      <c r="P48" s="324">
        <f aca="true" t="shared" si="10" ref="P48:S58">T48/($T48+$U48+$V48+$W48)*100</f>
        <v>12.547528517110267</v>
      </c>
      <c r="Q48" s="324">
        <f t="shared" si="10"/>
        <v>6.844106463878327</v>
      </c>
      <c r="R48" s="324">
        <f t="shared" si="10"/>
        <v>6.083650190114069</v>
      </c>
      <c r="S48" s="324">
        <f t="shared" si="10"/>
        <v>74.52471482889733</v>
      </c>
      <c r="T48" s="324">
        <f t="shared" si="6"/>
        <v>180</v>
      </c>
      <c r="U48" s="324">
        <f t="shared" si="7"/>
        <v>98.18181818181817</v>
      </c>
      <c r="V48" s="325">
        <f t="shared" si="8"/>
        <v>87.27272727272727</v>
      </c>
      <c r="W48" s="325">
        <f t="shared" si="9"/>
        <v>1069.0909090909088</v>
      </c>
    </row>
    <row r="49" spans="15:23" ht="12.75">
      <c r="O49" s="324">
        <v>41</v>
      </c>
      <c r="P49" s="324">
        <f t="shared" si="10"/>
        <v>12.46223564954683</v>
      </c>
      <c r="Q49" s="324">
        <f t="shared" si="10"/>
        <v>6.797583081570997</v>
      </c>
      <c r="R49" s="324">
        <f t="shared" si="10"/>
        <v>6.193353474320242</v>
      </c>
      <c r="S49" s="324">
        <f t="shared" si="10"/>
        <v>74.54682779456193</v>
      </c>
      <c r="T49" s="324">
        <f t="shared" si="6"/>
        <v>180</v>
      </c>
      <c r="U49" s="324">
        <f t="shared" si="7"/>
        <v>98.18181818181817</v>
      </c>
      <c r="V49" s="325">
        <f t="shared" si="8"/>
        <v>89.45454545454544</v>
      </c>
      <c r="W49" s="325">
        <f t="shared" si="9"/>
        <v>1076.7272727272725</v>
      </c>
    </row>
    <row r="50" spans="15:23" ht="12.75">
      <c r="O50" s="324">
        <v>42</v>
      </c>
      <c r="P50" s="324">
        <f t="shared" si="10"/>
        <v>12.378094523630912</v>
      </c>
      <c r="Q50" s="324">
        <f t="shared" si="10"/>
        <v>6.751687921980497</v>
      </c>
      <c r="R50" s="324">
        <f t="shared" si="10"/>
        <v>6.301575393848463</v>
      </c>
      <c r="S50" s="324">
        <f t="shared" si="10"/>
        <v>74.56864216054014</v>
      </c>
      <c r="T50" s="324">
        <f t="shared" si="6"/>
        <v>180</v>
      </c>
      <c r="U50" s="324">
        <f t="shared" si="7"/>
        <v>98.18181818181817</v>
      </c>
      <c r="V50" s="325">
        <f t="shared" si="8"/>
        <v>91.63636363636363</v>
      </c>
      <c r="W50" s="325">
        <f t="shared" si="9"/>
        <v>1084.363636363636</v>
      </c>
    </row>
    <row r="51" spans="15:23" ht="12.75">
      <c r="O51" s="324">
        <v>43</v>
      </c>
      <c r="P51" s="324">
        <f t="shared" si="10"/>
        <v>12.295081967213118</v>
      </c>
      <c r="Q51" s="324">
        <f t="shared" si="10"/>
        <v>6.7064083457526085</v>
      </c>
      <c r="R51" s="324">
        <f t="shared" si="10"/>
        <v>6.408345752608047</v>
      </c>
      <c r="S51" s="324">
        <f t="shared" si="10"/>
        <v>74.59016393442623</v>
      </c>
      <c r="T51" s="324">
        <f t="shared" si="6"/>
        <v>180</v>
      </c>
      <c r="U51" s="324">
        <f t="shared" si="7"/>
        <v>98.18181818181817</v>
      </c>
      <c r="V51" s="325">
        <f t="shared" si="8"/>
        <v>93.8181818181818</v>
      </c>
      <c r="W51" s="325">
        <f t="shared" si="9"/>
        <v>1091.9999999999998</v>
      </c>
    </row>
    <row r="52" spans="15:23" ht="12.75">
      <c r="O52" s="324">
        <v>44</v>
      </c>
      <c r="P52" s="324">
        <f t="shared" si="10"/>
        <v>12.21317542561066</v>
      </c>
      <c r="Q52" s="324">
        <f t="shared" si="10"/>
        <v>6.661732050333086</v>
      </c>
      <c r="R52" s="324">
        <f t="shared" si="10"/>
        <v>6.5136935603256845</v>
      </c>
      <c r="S52" s="324">
        <f t="shared" si="10"/>
        <v>74.61139896373057</v>
      </c>
      <c r="T52" s="324">
        <f t="shared" si="6"/>
        <v>180</v>
      </c>
      <c r="U52" s="324">
        <f t="shared" si="7"/>
        <v>98.18181818181817</v>
      </c>
      <c r="V52" s="325">
        <f t="shared" si="8"/>
        <v>95.99999999999999</v>
      </c>
      <c r="W52" s="325">
        <f t="shared" si="9"/>
        <v>1099.6363636363635</v>
      </c>
    </row>
    <row r="53" spans="15:23" ht="12.75">
      <c r="O53" s="324">
        <v>45</v>
      </c>
      <c r="P53" s="324">
        <f t="shared" si="10"/>
        <v>12.132352941176471</v>
      </c>
      <c r="Q53" s="324">
        <f t="shared" si="10"/>
        <v>6.61764705882353</v>
      </c>
      <c r="R53" s="324">
        <f t="shared" si="10"/>
        <v>6.617647058823531</v>
      </c>
      <c r="S53" s="324">
        <f t="shared" si="10"/>
        <v>74.63235294117646</v>
      </c>
      <c r="T53" s="324">
        <f t="shared" si="6"/>
        <v>180</v>
      </c>
      <c r="U53" s="324">
        <f t="shared" si="7"/>
        <v>98.18181818181817</v>
      </c>
      <c r="V53" s="325">
        <f t="shared" si="8"/>
        <v>98.18181818181819</v>
      </c>
      <c r="W53" s="325">
        <f t="shared" si="9"/>
        <v>1107.272727272727</v>
      </c>
    </row>
    <row r="54" spans="15:23" ht="12.75">
      <c r="O54" s="324">
        <v>46</v>
      </c>
      <c r="P54" s="324">
        <f t="shared" si="10"/>
        <v>12.052593133674216</v>
      </c>
      <c r="Q54" s="324">
        <f t="shared" si="10"/>
        <v>6.574141709276844</v>
      </c>
      <c r="R54" s="324">
        <f t="shared" si="10"/>
        <v>6.7202337472607745</v>
      </c>
      <c r="S54" s="324">
        <f t="shared" si="10"/>
        <v>74.65303140978816</v>
      </c>
      <c r="T54" s="324">
        <f t="shared" si="6"/>
        <v>180</v>
      </c>
      <c r="U54" s="324">
        <f t="shared" si="7"/>
        <v>98.18181818181817</v>
      </c>
      <c r="V54" s="325">
        <f t="shared" si="8"/>
        <v>100.36363636363636</v>
      </c>
      <c r="W54" s="325">
        <f t="shared" si="9"/>
        <v>1114.9090909090908</v>
      </c>
    </row>
    <row r="55" spans="15:23" ht="12.75">
      <c r="O55" s="324">
        <v>47</v>
      </c>
      <c r="P55" s="324">
        <f t="shared" si="10"/>
        <v>11.97387518142235</v>
      </c>
      <c r="Q55" s="324">
        <f t="shared" si="10"/>
        <v>6.53120464441219</v>
      </c>
      <c r="R55" s="324">
        <f t="shared" si="10"/>
        <v>6.821480406386067</v>
      </c>
      <c r="S55" s="324">
        <f t="shared" si="10"/>
        <v>74.6734397677794</v>
      </c>
      <c r="T55" s="324">
        <f t="shared" si="6"/>
        <v>180</v>
      </c>
      <c r="U55" s="324">
        <f t="shared" si="7"/>
        <v>98.18181818181817</v>
      </c>
      <c r="V55" s="325">
        <f t="shared" si="8"/>
        <v>102.54545454545455</v>
      </c>
      <c r="W55" s="325">
        <f t="shared" si="9"/>
        <v>1122.5454545454545</v>
      </c>
    </row>
    <row r="56" spans="15:23" ht="12.75">
      <c r="O56" s="324">
        <v>48</v>
      </c>
      <c r="P56" s="324">
        <f t="shared" si="10"/>
        <v>11.896178803172315</v>
      </c>
      <c r="Q56" s="324">
        <f t="shared" si="10"/>
        <v>6.4888248017303525</v>
      </c>
      <c r="R56" s="324">
        <f t="shared" si="10"/>
        <v>6.92141312184571</v>
      </c>
      <c r="S56" s="324">
        <f t="shared" si="10"/>
        <v>74.69358327325162</v>
      </c>
      <c r="T56" s="324">
        <f t="shared" si="6"/>
        <v>180</v>
      </c>
      <c r="U56" s="324">
        <f t="shared" si="7"/>
        <v>98.18181818181817</v>
      </c>
      <c r="V56" s="325">
        <f t="shared" si="8"/>
        <v>104.72727272727272</v>
      </c>
      <c r="W56" s="325">
        <f t="shared" si="9"/>
        <v>1130.181818181818</v>
      </c>
    </row>
    <row r="57" spans="15:23" ht="12.75">
      <c r="O57" s="324">
        <v>49</v>
      </c>
      <c r="P57" s="324">
        <f t="shared" si="10"/>
        <v>11.819484240687679</v>
      </c>
      <c r="Q57" s="324">
        <f t="shared" si="10"/>
        <v>6.446991404011461</v>
      </c>
      <c r="R57" s="324">
        <f t="shared" si="10"/>
        <v>7.020057306590258</v>
      </c>
      <c r="S57" s="324">
        <f t="shared" si="10"/>
        <v>74.7134670487106</v>
      </c>
      <c r="T57" s="324">
        <f t="shared" si="6"/>
        <v>180</v>
      </c>
      <c r="U57" s="324">
        <f t="shared" si="7"/>
        <v>98.18181818181817</v>
      </c>
      <c r="V57" s="325">
        <f t="shared" si="8"/>
        <v>106.9090909090909</v>
      </c>
      <c r="W57" s="325">
        <f t="shared" si="9"/>
        <v>1137.8181818181818</v>
      </c>
    </row>
    <row r="58" spans="15:23" ht="12.75">
      <c r="O58" s="324">
        <v>50</v>
      </c>
      <c r="P58" s="324">
        <f t="shared" si="10"/>
        <v>11.743772241992882</v>
      </c>
      <c r="Q58" s="324">
        <f t="shared" si="10"/>
        <v>6.405693950177935</v>
      </c>
      <c r="R58" s="324">
        <f t="shared" si="10"/>
        <v>7.117437722419928</v>
      </c>
      <c r="S58" s="324">
        <f t="shared" si="10"/>
        <v>74.73309608540926</v>
      </c>
      <c r="T58" s="324">
        <f t="shared" si="6"/>
        <v>180</v>
      </c>
      <c r="U58" s="324">
        <f t="shared" si="7"/>
        <v>98.18181818181817</v>
      </c>
      <c r="V58" s="325">
        <f t="shared" si="8"/>
        <v>109.09090909090908</v>
      </c>
      <c r="W58" s="325">
        <f t="shared" si="9"/>
        <v>1145.4545454545455</v>
      </c>
    </row>
  </sheetData>
  <printOptions/>
  <pageMargins left="0.75" right="0.75" top="1" bottom="1" header="0.5" footer="0.5"/>
  <pageSetup horizontalDpi="600" verticalDpi="600" orientation="portrait" r:id="rId3"/>
  <headerFooter alignWithMargins="0">
    <oddHeader>&amp;C&amp;F</oddHeader>
    <oddFooter>&amp;CPagina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Edisco</dc:creator>
  <cp:keywords/>
  <dc:description/>
  <cp:lastModifiedBy>Corrado</cp:lastModifiedBy>
  <dcterms:created xsi:type="dcterms:W3CDTF">2010-07-20T14:10:45Z</dcterms:created>
  <dcterms:modified xsi:type="dcterms:W3CDTF">2010-07-20T14:10:45Z</dcterms:modified>
  <cp:category/>
  <cp:version/>
  <cp:contentType/>
  <cp:contentStatus/>
</cp:coreProperties>
</file>